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kresic\Desktop\"/>
    </mc:Choice>
  </mc:AlternateContent>
  <xr:revisionPtr revIDLastSave="0" documentId="8_{8074FF68-5773-4768-AF2C-8D16F22FE55D}" xr6:coauthVersionLast="45" xr6:coauthVersionMax="45" xr10:uidLastSave="{00000000-0000-0000-0000-000000000000}"/>
  <workbookProtection workbookPassword="DE31" lockStructure="1"/>
  <bookViews>
    <workbookView xWindow="-120" yWindow="-120" windowWidth="29040" windowHeight="15840" activeTab="8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PROJEKATA'!$A$2:$N$24</definedName>
    <definedName name="_xlnm.Print_Area" localSheetId="0">'Opći dio'!$A$3:$E$32</definedName>
    <definedName name="_xlnm.Print_Area" localSheetId="1">'Plan prihoda za unos u SAP'!$A$2:$I$10</definedName>
    <definedName name="_xlnm.Print_Area" localSheetId="2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N50" i="14" l="1"/>
  <c r="M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91" i="13"/>
  <c r="P66" i="13"/>
  <c r="P53" i="13"/>
  <c r="P29" i="13"/>
  <c r="P16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100" i="13"/>
  <c r="P83" i="13"/>
  <c r="P57" i="13"/>
  <c r="P49" i="13"/>
  <c r="P24" i="13"/>
  <c r="P12" i="13"/>
  <c r="P106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95" i="13"/>
  <c r="P87" i="13"/>
  <c r="P61" i="13"/>
  <c r="P34" i="13"/>
  <c r="P20" i="13"/>
  <c r="P104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N108" i="14"/>
  <c r="M108" i="14"/>
  <c r="K108" i="14"/>
  <c r="J108" i="14"/>
  <c r="E108" i="14"/>
  <c r="N107" i="14"/>
  <c r="M107" i="14"/>
  <c r="K107" i="14"/>
  <c r="J107" i="14"/>
  <c r="E107" i="14"/>
  <c r="N105" i="14"/>
  <c r="M105" i="14"/>
  <c r="K105" i="14"/>
  <c r="J105" i="14"/>
  <c r="E105" i="14"/>
  <c r="N104" i="14"/>
  <c r="M104" i="14"/>
  <c r="K104" i="14"/>
  <c r="J104" i="14"/>
  <c r="E104" i="14"/>
  <c r="N103" i="14"/>
  <c r="M103" i="14"/>
  <c r="K103" i="14"/>
  <c r="J103" i="14"/>
  <c r="E103" i="14"/>
  <c r="N102" i="14"/>
  <c r="M102" i="14"/>
  <c r="K102" i="14"/>
  <c r="J102" i="14"/>
  <c r="E102" i="14"/>
  <c r="N101" i="14"/>
  <c r="M101" i="14"/>
  <c r="K101" i="14"/>
  <c r="J101" i="14"/>
  <c r="E101" i="14"/>
  <c r="N99" i="14"/>
  <c r="M99" i="14"/>
  <c r="K99" i="14"/>
  <c r="J99" i="14"/>
  <c r="E99" i="14"/>
  <c r="N98" i="14"/>
  <c r="M98" i="14"/>
  <c r="K98" i="14"/>
  <c r="J98" i="14"/>
  <c r="E98" i="14"/>
  <c r="N97" i="14"/>
  <c r="M97" i="14"/>
  <c r="K97" i="14"/>
  <c r="J97" i="14"/>
  <c r="E97" i="14"/>
  <c r="N96" i="14"/>
  <c r="M96" i="14"/>
  <c r="K96" i="14"/>
  <c r="J96" i="14"/>
  <c r="E96" i="14"/>
  <c r="N95" i="14"/>
  <c r="M95" i="14"/>
  <c r="K95" i="14"/>
  <c r="J95" i="14"/>
  <c r="E95" i="14"/>
  <c r="N94" i="14"/>
  <c r="M94" i="14"/>
  <c r="K94" i="14"/>
  <c r="J94" i="14"/>
  <c r="E94" i="14"/>
  <c r="N93" i="14"/>
  <c r="M93" i="14"/>
  <c r="K93" i="14"/>
  <c r="J93" i="14"/>
  <c r="E93" i="14"/>
  <c r="E81" i="14"/>
  <c r="J81" i="14"/>
  <c r="K81" i="14"/>
  <c r="M81" i="14"/>
  <c r="N81" i="14"/>
  <c r="E82" i="14"/>
  <c r="J82" i="14"/>
  <c r="K82" i="14"/>
  <c r="M82" i="14"/>
  <c r="N82" i="14"/>
  <c r="E83" i="14"/>
  <c r="J83" i="14"/>
  <c r="K83" i="14"/>
  <c r="M83" i="14"/>
  <c r="N83" i="14"/>
  <c r="E84" i="14"/>
  <c r="J84" i="14"/>
  <c r="K84" i="14"/>
  <c r="M84" i="14"/>
  <c r="N84" i="14"/>
  <c r="E85" i="14"/>
  <c r="J85" i="14"/>
  <c r="K85" i="14"/>
  <c r="M85" i="14"/>
  <c r="N85" i="14"/>
  <c r="E87" i="14"/>
  <c r="J87" i="14"/>
  <c r="K87" i="14"/>
  <c r="M87" i="14"/>
  <c r="N87" i="14"/>
  <c r="N88" i="14"/>
  <c r="M88" i="14"/>
  <c r="K88" i="14"/>
  <c r="J88" i="14"/>
  <c r="E88" i="14"/>
  <c r="N79" i="14"/>
  <c r="M79" i="14"/>
  <c r="K79" i="14"/>
  <c r="J79" i="14"/>
  <c r="E79" i="14"/>
  <c r="N78" i="14"/>
  <c r="M78" i="14"/>
  <c r="K78" i="14"/>
  <c r="J78" i="14"/>
  <c r="E78" i="14"/>
  <c r="N77" i="14"/>
  <c r="M77" i="14"/>
  <c r="K77" i="14"/>
  <c r="J77" i="14"/>
  <c r="E77" i="14"/>
  <c r="N76" i="14"/>
  <c r="M76" i="14"/>
  <c r="K76" i="14"/>
  <c r="J76" i="14"/>
  <c r="E76" i="14"/>
  <c r="N75" i="14"/>
  <c r="M75" i="14"/>
  <c r="K75" i="14"/>
  <c r="J75" i="14"/>
  <c r="E75" i="14"/>
  <c r="N74" i="14"/>
  <c r="M74" i="14"/>
  <c r="K74" i="14"/>
  <c r="J74" i="14"/>
  <c r="E74" i="14"/>
  <c r="N73" i="14"/>
  <c r="M73" i="14"/>
  <c r="K73" i="14"/>
  <c r="J73" i="14"/>
  <c r="E73" i="14"/>
  <c r="E86" i="14" l="1"/>
  <c r="P86" i="14"/>
  <c r="M86" i="14"/>
  <c r="K86" i="14"/>
  <c r="N86" i="14"/>
  <c r="J86" i="14"/>
  <c r="N68" i="14"/>
  <c r="M68" i="14"/>
  <c r="K68" i="14"/>
  <c r="J68" i="14"/>
  <c r="E68" i="14"/>
  <c r="N67" i="14"/>
  <c r="M67" i="14"/>
  <c r="K67" i="14"/>
  <c r="J67" i="14"/>
  <c r="E67" i="14"/>
  <c r="N66" i="14"/>
  <c r="M66" i="14"/>
  <c r="K66" i="14"/>
  <c r="J66" i="14"/>
  <c r="E66" i="14"/>
  <c r="N65" i="14"/>
  <c r="M65" i="14"/>
  <c r="K65" i="14"/>
  <c r="J65" i="14"/>
  <c r="E65" i="14"/>
  <c r="N64" i="14"/>
  <c r="M64" i="14"/>
  <c r="K64" i="14"/>
  <c r="J64" i="14"/>
  <c r="E64" i="14"/>
  <c r="N62" i="14"/>
  <c r="M62" i="14"/>
  <c r="K62" i="14"/>
  <c r="J62" i="14"/>
  <c r="E62" i="14"/>
  <c r="N61" i="14"/>
  <c r="M61" i="14"/>
  <c r="K61" i="14"/>
  <c r="J61" i="14"/>
  <c r="E61" i="14"/>
  <c r="N60" i="14"/>
  <c r="M60" i="14"/>
  <c r="K60" i="14"/>
  <c r="J60" i="14"/>
  <c r="E60" i="14"/>
  <c r="N57" i="14"/>
  <c r="M57" i="14"/>
  <c r="K57" i="14"/>
  <c r="J57" i="14"/>
  <c r="E57" i="14"/>
  <c r="N56" i="14"/>
  <c r="M56" i="14"/>
  <c r="K56" i="14"/>
  <c r="J56" i="14"/>
  <c r="E56" i="14"/>
  <c r="N55" i="14"/>
  <c r="M55" i="14"/>
  <c r="K55" i="14"/>
  <c r="J55" i="14"/>
  <c r="E55" i="14"/>
  <c r="N54" i="14"/>
  <c r="M54" i="14"/>
  <c r="K54" i="14"/>
  <c r="J54" i="14"/>
  <c r="E54" i="14"/>
  <c r="N52" i="14"/>
  <c r="M52" i="14"/>
  <c r="K52" i="14"/>
  <c r="J52" i="14"/>
  <c r="E52" i="14"/>
  <c r="N48" i="14"/>
  <c r="M48" i="14"/>
  <c r="K48" i="14"/>
  <c r="J48" i="14"/>
  <c r="E48" i="14"/>
  <c r="N47" i="14"/>
  <c r="M47" i="14"/>
  <c r="K47" i="14"/>
  <c r="J47" i="14"/>
  <c r="E47" i="14"/>
  <c r="N46" i="14"/>
  <c r="M46" i="14"/>
  <c r="K46" i="14"/>
  <c r="J46" i="14"/>
  <c r="E46" i="14"/>
  <c r="N45" i="14"/>
  <c r="M45" i="14"/>
  <c r="K45" i="14"/>
  <c r="J45" i="14"/>
  <c r="E45" i="14"/>
  <c r="N44" i="14"/>
  <c r="M44" i="14"/>
  <c r="K44" i="14"/>
  <c r="J44" i="14"/>
  <c r="E44" i="14"/>
  <c r="N43" i="14"/>
  <c r="M43" i="14"/>
  <c r="K43" i="14"/>
  <c r="J43" i="14"/>
  <c r="E43" i="14"/>
  <c r="N41" i="14"/>
  <c r="M41" i="14"/>
  <c r="K41" i="14"/>
  <c r="J41" i="14"/>
  <c r="E41" i="14"/>
  <c r="N40" i="14"/>
  <c r="M40" i="14"/>
  <c r="K40" i="14"/>
  <c r="J40" i="14"/>
  <c r="E40" i="14"/>
  <c r="N59" i="14" l="1"/>
  <c r="M59" i="14"/>
  <c r="K59" i="14"/>
  <c r="J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N37" i="14" l="1"/>
  <c r="M37" i="14"/>
  <c r="K37" i="14"/>
  <c r="J37" i="14"/>
  <c r="E37" i="14"/>
  <c r="N36" i="14"/>
  <c r="M36" i="14"/>
  <c r="K36" i="14"/>
  <c r="J36" i="14"/>
  <c r="E36" i="14"/>
  <c r="N35" i="14"/>
  <c r="M35" i="14"/>
  <c r="K35" i="14"/>
  <c r="J35" i="14"/>
  <c r="E35" i="14"/>
  <c r="N34" i="14"/>
  <c r="M34" i="14"/>
  <c r="K34" i="14"/>
  <c r="J34" i="14"/>
  <c r="E34" i="14"/>
  <c r="N32" i="14"/>
  <c r="M32" i="14"/>
  <c r="K32" i="14"/>
  <c r="J32" i="14"/>
  <c r="E32" i="14"/>
  <c r="N31" i="14"/>
  <c r="M31" i="14"/>
  <c r="K31" i="14"/>
  <c r="J31" i="14"/>
  <c r="E31" i="14"/>
  <c r="N29" i="14"/>
  <c r="M29" i="14"/>
  <c r="K29" i="14"/>
  <c r="J29" i="14"/>
  <c r="E29" i="14"/>
  <c r="N28" i="14"/>
  <c r="M28" i="14"/>
  <c r="K28" i="14"/>
  <c r="J28" i="14"/>
  <c r="E28" i="14"/>
  <c r="N27" i="14"/>
  <c r="M27" i="14"/>
  <c r="K27" i="14"/>
  <c r="J27" i="14"/>
  <c r="E27" i="14"/>
  <c r="N26" i="14"/>
  <c r="M26" i="14"/>
  <c r="K26" i="14"/>
  <c r="J26" i="14"/>
  <c r="E26" i="14"/>
  <c r="N25" i="14"/>
  <c r="M25" i="14"/>
  <c r="K25" i="14"/>
  <c r="J25" i="14"/>
  <c r="E25" i="14"/>
  <c r="N24" i="14"/>
  <c r="M24" i="14"/>
  <c r="K24" i="14"/>
  <c r="J24" i="14"/>
  <c r="E24" i="14"/>
  <c r="N22" i="14"/>
  <c r="M22" i="14"/>
  <c r="K22" i="14"/>
  <c r="J22" i="14"/>
  <c r="E22" i="14"/>
  <c r="N21" i="14"/>
  <c r="M21" i="14"/>
  <c r="K21" i="14"/>
  <c r="J21" i="14"/>
  <c r="E21" i="14"/>
  <c r="N20" i="14"/>
  <c r="M20" i="14"/>
  <c r="K20" i="14"/>
  <c r="J20" i="14"/>
  <c r="E20" i="14"/>
  <c r="N18" i="14"/>
  <c r="M18" i="14"/>
  <c r="K18" i="14"/>
  <c r="J18" i="14"/>
  <c r="E18" i="14"/>
  <c r="N17" i="14"/>
  <c r="M17" i="14"/>
  <c r="K17" i="14"/>
  <c r="J17" i="14"/>
  <c r="E17" i="14"/>
  <c r="N16" i="14"/>
  <c r="M16" i="14"/>
  <c r="K16" i="14"/>
  <c r="J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D7" i="14" s="1"/>
  <c r="N5" i="17"/>
  <c r="M6" i="17"/>
  <c r="N6" i="17"/>
  <c r="M7" i="17"/>
  <c r="O34" i="14" s="1"/>
  <c r="N7" i="17"/>
  <c r="M8" i="17"/>
  <c r="N8" i="17"/>
  <c r="M9" i="17"/>
  <c r="F6" i="14" s="1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H8" i="14" s="1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N14" i="14"/>
  <c r="M14" i="14"/>
  <c r="K14" i="14"/>
  <c r="J14" i="14"/>
  <c r="O13" i="14"/>
  <c r="N13" i="14"/>
  <c r="M13" i="14"/>
  <c r="K13" i="14"/>
  <c r="J13" i="14"/>
  <c r="E13" i="14"/>
  <c r="O12" i="14"/>
  <c r="N12" i="14"/>
  <c r="M12" i="14"/>
  <c r="K12" i="14"/>
  <c r="J12" i="14"/>
  <c r="O11" i="14"/>
  <c r="N11" i="14"/>
  <c r="M11" i="14"/>
  <c r="K11" i="14"/>
  <c r="J11" i="14"/>
  <c r="E11" i="14"/>
  <c r="O10" i="14"/>
  <c r="N10" i="14"/>
  <c r="M10" i="14"/>
  <c r="L10" i="14"/>
  <c r="K10" i="14"/>
  <c r="J10" i="14"/>
  <c r="O8" i="14"/>
  <c r="N8" i="14"/>
  <c r="M8" i="14"/>
  <c r="K8" i="14"/>
  <c r="J8" i="14"/>
  <c r="E8" i="14"/>
  <c r="O7" i="14"/>
  <c r="N7" i="14"/>
  <c r="M7" i="14"/>
  <c r="K7" i="14"/>
  <c r="J7" i="14"/>
  <c r="O6" i="14"/>
  <c r="N6" i="14"/>
  <c r="M6" i="14"/>
  <c r="K6" i="14"/>
  <c r="J6" i="14"/>
  <c r="E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F11" i="14" l="1"/>
  <c r="D28" i="14"/>
  <c r="H11" i="14"/>
  <c r="G17" i="14"/>
  <c r="G32" i="14"/>
  <c r="H10" i="14"/>
  <c r="H12" i="14"/>
  <c r="H6" i="14"/>
  <c r="H16" i="14"/>
  <c r="H7" i="14"/>
  <c r="H36" i="14"/>
  <c r="H14" i="14"/>
  <c r="H18" i="14"/>
  <c r="H21" i="14"/>
  <c r="H24" i="14"/>
  <c r="H26" i="14"/>
  <c r="H28" i="14"/>
  <c r="H31" i="14"/>
  <c r="H34" i="14"/>
  <c r="H50" i="14"/>
  <c r="H67" i="14"/>
  <c r="H65" i="14"/>
  <c r="H62" i="14"/>
  <c r="H60" i="14"/>
  <c r="H56" i="14"/>
  <c r="H54" i="14"/>
  <c r="H48" i="14"/>
  <c r="H46" i="14"/>
  <c r="H44" i="14"/>
  <c r="H41" i="14"/>
  <c r="H68" i="14"/>
  <c r="H66" i="14"/>
  <c r="H64" i="14"/>
  <c r="H61" i="14"/>
  <c r="H57" i="14"/>
  <c r="H55" i="14"/>
  <c r="H52" i="14"/>
  <c r="H47" i="14"/>
  <c r="H45" i="14"/>
  <c r="H43" i="14"/>
  <c r="H40" i="14"/>
  <c r="H13" i="14"/>
  <c r="H17" i="14"/>
  <c r="H20" i="14"/>
  <c r="H22" i="14"/>
  <c r="H25" i="14"/>
  <c r="H27" i="14"/>
  <c r="H29" i="14"/>
  <c r="H32" i="14"/>
  <c r="H35" i="14"/>
  <c r="H37" i="14"/>
  <c r="L50" i="14"/>
  <c r="L67" i="14"/>
  <c r="L68" i="14"/>
  <c r="L64" i="14"/>
  <c r="L57" i="14"/>
  <c r="L52" i="14"/>
  <c r="L45" i="14"/>
  <c r="L40" i="14"/>
  <c r="L66" i="14"/>
  <c r="L62" i="14"/>
  <c r="L48" i="14"/>
  <c r="L65" i="14"/>
  <c r="L60" i="14"/>
  <c r="L54" i="14"/>
  <c r="L46" i="14"/>
  <c r="L41" i="14"/>
  <c r="L61" i="14"/>
  <c r="L55" i="14"/>
  <c r="L47" i="14"/>
  <c r="L43" i="14"/>
  <c r="L56" i="14"/>
  <c r="L44" i="14"/>
  <c r="L28" i="14"/>
  <c r="L34" i="14"/>
  <c r="L11" i="14"/>
  <c r="L14" i="14"/>
  <c r="L16" i="14"/>
  <c r="L17" i="14"/>
  <c r="L22" i="14"/>
  <c r="L27" i="14"/>
  <c r="L32" i="14"/>
  <c r="L37" i="14"/>
  <c r="L18" i="14"/>
  <c r="L24" i="14"/>
  <c r="L21" i="14"/>
  <c r="L26" i="14"/>
  <c r="L31" i="14"/>
  <c r="L36" i="14"/>
  <c r="L6" i="14"/>
  <c r="L81" i="14"/>
  <c r="L83" i="14"/>
  <c r="L85" i="14"/>
  <c r="L101" i="14"/>
  <c r="L96" i="14"/>
  <c r="L78" i="14"/>
  <c r="L74" i="14"/>
  <c r="L107" i="14"/>
  <c r="L104" i="14"/>
  <c r="L102" i="14"/>
  <c r="L99" i="14"/>
  <c r="L97" i="14"/>
  <c r="L95" i="14"/>
  <c r="L93" i="14"/>
  <c r="L79" i="14"/>
  <c r="L77" i="14"/>
  <c r="L75" i="14"/>
  <c r="L73" i="14"/>
  <c r="L108" i="14"/>
  <c r="L105" i="14"/>
  <c r="L103" i="14"/>
  <c r="L98" i="14"/>
  <c r="L88" i="14"/>
  <c r="L82" i="14"/>
  <c r="L84" i="14"/>
  <c r="L87" i="14"/>
  <c r="L94" i="14"/>
  <c r="L76" i="14"/>
  <c r="L20" i="14"/>
  <c r="L25" i="14"/>
  <c r="L29" i="14"/>
  <c r="L35" i="14"/>
  <c r="I14" i="14"/>
  <c r="I7" i="14"/>
  <c r="I8" i="14"/>
  <c r="I37" i="14"/>
  <c r="I11" i="14"/>
  <c r="I13" i="14"/>
  <c r="I12" i="14"/>
  <c r="I16" i="14"/>
  <c r="I17" i="14"/>
  <c r="I18" i="14"/>
  <c r="I20" i="14"/>
  <c r="I21" i="14"/>
  <c r="I22" i="14"/>
  <c r="I24" i="14"/>
  <c r="I25" i="14"/>
  <c r="I26" i="14"/>
  <c r="I27" i="14"/>
  <c r="I28" i="14"/>
  <c r="I29" i="14"/>
  <c r="I31" i="14"/>
  <c r="I32" i="14"/>
  <c r="I34" i="14"/>
  <c r="I35" i="14"/>
  <c r="I36" i="14"/>
  <c r="I50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48" i="14"/>
  <c r="I47" i="14"/>
  <c r="I46" i="14"/>
  <c r="I45" i="14"/>
  <c r="I44" i="14"/>
  <c r="I43" i="14"/>
  <c r="I41" i="14"/>
  <c r="I40" i="14"/>
  <c r="I6" i="14"/>
  <c r="I10" i="14"/>
  <c r="I105" i="14"/>
  <c r="I101" i="14"/>
  <c r="I96" i="14"/>
  <c r="I81" i="14"/>
  <c r="I85" i="14"/>
  <c r="I78" i="14"/>
  <c r="I74" i="14"/>
  <c r="I95" i="14"/>
  <c r="I87" i="14"/>
  <c r="I107" i="14"/>
  <c r="I102" i="14"/>
  <c r="I97" i="14"/>
  <c r="I93" i="14"/>
  <c r="I84" i="14"/>
  <c r="I79" i="14"/>
  <c r="I75" i="14"/>
  <c r="I104" i="14"/>
  <c r="I99" i="14"/>
  <c r="I82" i="14"/>
  <c r="I108" i="14"/>
  <c r="I103" i="14"/>
  <c r="I98" i="14"/>
  <c r="I94" i="14"/>
  <c r="I83" i="14"/>
  <c r="I88" i="14"/>
  <c r="I76" i="14"/>
  <c r="I77" i="14"/>
  <c r="I73" i="14"/>
  <c r="G37" i="14"/>
  <c r="G22" i="14"/>
  <c r="G27" i="14"/>
  <c r="G16" i="14"/>
  <c r="G85" i="14"/>
  <c r="G81" i="14"/>
  <c r="G82" i="14"/>
  <c r="G83" i="14"/>
  <c r="G84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79" i="14"/>
  <c r="G78" i="14"/>
  <c r="G77" i="14"/>
  <c r="G76" i="14"/>
  <c r="G75" i="14"/>
  <c r="G74" i="14"/>
  <c r="G73" i="14"/>
  <c r="G87" i="14"/>
  <c r="G50" i="14"/>
  <c r="G68" i="14"/>
  <c r="G64" i="14"/>
  <c r="G57" i="14"/>
  <c r="G52" i="14"/>
  <c r="G45" i="14"/>
  <c r="G40" i="14"/>
  <c r="G48" i="14"/>
  <c r="G60" i="14"/>
  <c r="G54" i="14"/>
  <c r="G67" i="14"/>
  <c r="G62" i="14"/>
  <c r="G56" i="14"/>
  <c r="G44" i="14"/>
  <c r="G41" i="14"/>
  <c r="G66" i="14"/>
  <c r="G61" i="14"/>
  <c r="G55" i="14"/>
  <c r="G47" i="14"/>
  <c r="G43" i="14"/>
  <c r="G65" i="14"/>
  <c r="G46" i="14"/>
  <c r="G18" i="14"/>
  <c r="G24" i="14"/>
  <c r="G28" i="14"/>
  <c r="G34" i="14"/>
  <c r="G20" i="14"/>
  <c r="G25" i="14"/>
  <c r="G29" i="14"/>
  <c r="G35" i="14"/>
  <c r="G21" i="14"/>
  <c r="G26" i="14"/>
  <c r="G31" i="14"/>
  <c r="G36" i="14"/>
  <c r="D6" i="14"/>
  <c r="F10" i="14"/>
  <c r="F7" i="14"/>
  <c r="F12" i="14"/>
  <c r="F8" i="14"/>
  <c r="F13" i="14"/>
  <c r="F14" i="14"/>
  <c r="F36" i="14"/>
  <c r="F16" i="14"/>
  <c r="F18" i="14"/>
  <c r="F21" i="14"/>
  <c r="F24" i="14"/>
  <c r="F26" i="14"/>
  <c r="F28" i="14"/>
  <c r="F31" i="14"/>
  <c r="F34" i="14"/>
  <c r="F108" i="14"/>
  <c r="F103" i="14"/>
  <c r="F98" i="14"/>
  <c r="F94" i="14"/>
  <c r="F81" i="14"/>
  <c r="F85" i="14"/>
  <c r="F88" i="14"/>
  <c r="F76" i="14"/>
  <c r="F95" i="14"/>
  <c r="F77" i="14"/>
  <c r="F107" i="14"/>
  <c r="F102" i="14"/>
  <c r="F97" i="14"/>
  <c r="F93" i="14"/>
  <c r="F82" i="14"/>
  <c r="F87" i="14"/>
  <c r="F79" i="14"/>
  <c r="F75" i="14"/>
  <c r="F104" i="14"/>
  <c r="F73" i="14"/>
  <c r="F105" i="14"/>
  <c r="F101" i="14"/>
  <c r="F96" i="14"/>
  <c r="F83" i="14"/>
  <c r="F78" i="14"/>
  <c r="F99" i="14"/>
  <c r="F84" i="14"/>
  <c r="F74" i="14"/>
  <c r="F50" i="14"/>
  <c r="F49" i="14" s="1"/>
  <c r="F67" i="14"/>
  <c r="F65" i="14"/>
  <c r="F62" i="14"/>
  <c r="F60" i="14"/>
  <c r="F56" i="14"/>
  <c r="F54" i="14"/>
  <c r="F47" i="14"/>
  <c r="F45" i="14"/>
  <c r="F48" i="14"/>
  <c r="F46" i="14"/>
  <c r="F44" i="14"/>
  <c r="F41" i="14"/>
  <c r="F43" i="14"/>
  <c r="F68" i="14"/>
  <c r="F66" i="14"/>
  <c r="F64" i="14"/>
  <c r="F61" i="14"/>
  <c r="F57" i="14"/>
  <c r="F55" i="14"/>
  <c r="F52" i="14"/>
  <c r="F40" i="14"/>
  <c r="F17" i="14"/>
  <c r="F20" i="14"/>
  <c r="F22" i="14"/>
  <c r="F25" i="14"/>
  <c r="F27" i="14"/>
  <c r="F29" i="14"/>
  <c r="F32" i="14"/>
  <c r="F35" i="14"/>
  <c r="F37" i="14"/>
  <c r="O14" i="14"/>
  <c r="O16" i="14"/>
  <c r="O21" i="14"/>
  <c r="O26" i="14"/>
  <c r="O31" i="14"/>
  <c r="O36" i="14"/>
  <c r="O20" i="14"/>
  <c r="O25" i="14"/>
  <c r="O29" i="14"/>
  <c r="O35" i="14"/>
  <c r="O82" i="14"/>
  <c r="O84" i="14"/>
  <c r="O87" i="14"/>
  <c r="O108" i="14"/>
  <c r="O105" i="14"/>
  <c r="O103" i="14"/>
  <c r="O101" i="14"/>
  <c r="O98" i="14"/>
  <c r="O96" i="14"/>
  <c r="O94" i="14"/>
  <c r="O88" i="14"/>
  <c r="O78" i="14"/>
  <c r="O76" i="14"/>
  <c r="O81" i="14"/>
  <c r="O83" i="14"/>
  <c r="O85" i="14"/>
  <c r="O74" i="14"/>
  <c r="O73" i="14"/>
  <c r="O107" i="14"/>
  <c r="O104" i="14"/>
  <c r="O102" i="14"/>
  <c r="O99" i="14"/>
  <c r="O97" i="14"/>
  <c r="O95" i="14"/>
  <c r="O93" i="14"/>
  <c r="O79" i="14"/>
  <c r="O77" i="14"/>
  <c r="O75" i="14"/>
  <c r="O18" i="14"/>
  <c r="O24" i="14"/>
  <c r="O28" i="14"/>
  <c r="O50" i="14"/>
  <c r="O65" i="14"/>
  <c r="O60" i="14"/>
  <c r="O54" i="14"/>
  <c r="O45" i="14"/>
  <c r="O40" i="14"/>
  <c r="O66" i="14"/>
  <c r="O61" i="14"/>
  <c r="O55" i="14"/>
  <c r="O46" i="14"/>
  <c r="O41" i="14"/>
  <c r="O67" i="14"/>
  <c r="O62" i="14"/>
  <c r="O56" i="14"/>
  <c r="O47" i="14"/>
  <c r="O43" i="14"/>
  <c r="O68" i="14"/>
  <c r="O64" i="14"/>
  <c r="O57" i="14"/>
  <c r="O52" i="14"/>
  <c r="O48" i="14"/>
  <c r="O44" i="14"/>
  <c r="O17" i="14"/>
  <c r="O22" i="14"/>
  <c r="O27" i="14"/>
  <c r="O32" i="14"/>
  <c r="O37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H63" i="14" l="1"/>
  <c r="H59" i="14"/>
  <c r="L86" i="14"/>
  <c r="L59" i="14"/>
  <c r="G86" i="14"/>
  <c r="I86" i="14"/>
  <c r="I59" i="14"/>
  <c r="F86" i="14"/>
  <c r="O59" i="14"/>
  <c r="O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<sst xmlns="http://schemas.openxmlformats.org/spreadsheetml/2006/main" count="3347" uniqueCount="1678">
  <si>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</si>
  <si>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</si>
  <si>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</si>
  <si>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</si>
  <si>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</si>
  <si>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</si>
  <si>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</si>
  <si>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</si>
  <si>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</si>
  <si>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</si>
  <si>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</si>
  <si>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</si>
  <si>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</si>
  <si>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</si>
  <si>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</si>
  <si>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</si>
  <si>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</si>
  <si>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</si>
  <si>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</si>
  <si>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</si>
  <si>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</si>
  <si>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</si>
  <si>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</si>
  <si>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</si>
  <si>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</si>
  <si>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</si>
  <si>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</si>
  <si>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</si>
  <si>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</si>
  <si>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</si>
  <si>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</si>
  <si>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</si>
  <si>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</si>
  <si>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</si>
  <si>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</si>
  <si>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</si>
  <si>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</si>
  <si>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</si>
  <si>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</si>
  <si>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</si>
  <si>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</si>
  <si>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</si>
  <si>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</si>
  <si>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</si>
  <si>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</si>
  <si>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</si>
  <si>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</si>
  <si>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</si>
  <si>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</si>
  <si>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</si>
  <si>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</si>
  <si>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</si>
  <si>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</si>
  <si>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</si>
  <si>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</si>
  <si>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</si>
  <si>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</si>
  <si>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</si>
  <si>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</si>
  <si>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</si>
  <si>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</si>
  <si>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</si>
  <si>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</si>
  <si>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</si>
  <si>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</si>
  <si>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</si>
  <si>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</si>
  <si>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</si>
  <si>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</si>
  <si>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</si>
  <si>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</si>
  <si>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</si>
  <si>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</si>
  <si>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</si>
  <si>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</si>
  <si>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</si>
  <si>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</si>
  <si>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</si>
  <si>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</si>
  <si>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</si>
  <si>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</si>
  <si>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</si>
  <si>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</si>
  <si>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</si>
  <si>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</si>
  <si>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</si>
  <si>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</si>
  <si>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</si>
  <si>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</si>
  <si>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</si>
  <si>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</si>
  <si>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</si>
  <si>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</si>
  <si>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</si>
  <si>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</si>
  <si>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</si>
  <si>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</si>
  <si>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</si>
  <si>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</si>
  <si>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</si>
  <si>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</si>
  <si>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</si>
  <si>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</si>
  <si>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</si>
  <si>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</si>
  <si>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</si>
  <si>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</si>
  <si>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</si>
  <si>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</si>
  <si>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</si>
  <si>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</si>
  <si>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</si>
  <si>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</si>
  <si>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</si>
  <si>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</si>
  <si>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</si>
  <si>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</si>
  <si>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</si>
  <si>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</si>
  <si>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</si>
  <si>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</si>
  <si>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</si>
  <si>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</si>
  <si>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</si>
  <si>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</si>
  <si>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</si>
  <si>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</si>
  <si>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</si>
  <si>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</si>
  <si>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</si>
  <si>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</si>
  <si>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</si>
  <si>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</si>
  <si>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</si>
  <si>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</si>
  <si>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</si>
  <si>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</si>
  <si>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</si>
  <si>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</si>
  <si>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</si>
  <si>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</si>
  <si>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</si>
  <si>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</si>
  <si>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</si>
  <si>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</si>
  <si>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</si>
  <si>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</si>
  <si>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</si>
  <si>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</si>
  <si>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</si>
  <si>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</si>
  <si>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</si>
  <si>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</si>
  <si>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</si>
  <si>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</si>
  <si>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</si>
  <si>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</si>
  <si>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</si>
  <si>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</si>
  <si>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</si>
  <si>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</si>
  <si>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</si>
  <si>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</si>
  <si>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</si>
  <si>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</si>
  <si>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</si>
  <si>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</si>
  <si>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</si>
  <si>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</si>
  <si>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</si>
  <si>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</si>
  <si>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</si>
  <si>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</si>
  <si>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</si>
  <si>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</si>
  <si>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</si>
  <si>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</si>
  <si>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</si>
  <si>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</si>
  <si>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</si>
  <si>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</si>
  <si>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</si>
  <si>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</si>
  <si>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</si>
  <si>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</si>
  <si>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</si>
  <si>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</si>
  <si>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</si>
  <si>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</si>
  <si>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</si>
  <si>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</si>
  <si>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</si>
  <si>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</si>
  <si>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</si>
  <si>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</si>
  <si>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</si>
  <si>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</si>
  <si>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</si>
  <si>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</si>
  <si>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</si>
  <si>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</si>
  <si>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</si>
  <si>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</si>
  <si>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</si>
  <si>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</si>
  <si>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</si>
  <si>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</si>
  <si>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</si>
  <si>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</si>
  <si>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</si>
  <si>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</si>
  <si>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</si>
  <si>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</si>
  <si>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</si>
  <si>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</si>
  <si>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</si>
  <si>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</si>
  <si>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</si>
  <si>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</si>
  <si>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</si>
  <si>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</si>
  <si>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</si>
  <si>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</si>
  <si>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</si>
  <si>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</si>
  <si>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</si>
  <si>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</si>
  <si>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</si>
  <si>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</si>
  <si>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</si>
  <si>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</si>
  <si>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</si>
  <si>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</si>
  <si>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</si>
  <si>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</si>
  <si>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</si>
  <si>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</si>
  <si>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</si>
  <si>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</si>
  <si>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</si>
  <si>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</si>
  <si>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</si>
  <si>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</si>
  <si>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</si>
  <si>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</si>
  <si>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</si>
  <si>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</si>
  <si>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</si>
  <si>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</si>
  <si>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</si>
  <si>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</si>
  <si>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</si>
  <si>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</si>
  <si>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</si>
  <si>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</si>
  <si>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</si>
  <si>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</si>
  <si>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</si>
  <si>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</si>
  <si>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</si>
  <si>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</si>
  <si>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</si>
  <si>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</si>
  <si>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</si>
  <si>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</si>
  <si>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</si>
  <si>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</si>
  <si>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</si>
  <si>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</si>
  <si>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</si>
  <si>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</si>
  <si>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</si>
  <si>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</si>
  <si>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</si>
  <si>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</si>
  <si>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</si>
  <si>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</si>
  <si>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</si>
  <si>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</si>
  <si>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</si>
  <si>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</si>
  <si>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</si>
  <si>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</si>
  <si>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</si>
  <si>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</si>
  <si>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</si>
  <si>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</si>
  <si>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</si>
  <si>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</si>
  <si>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</si>
  <si>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</si>
  <si>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</si>
  <si>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</si>
  <si>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</si>
  <si>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</si>
  <si>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</si>
  <si>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</si>
  <si>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</si>
  <si>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</si>
  <si>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</si>
  <si>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</si>
  <si>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</si>
  <si>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</si>
  <si>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</si>
  <si>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</si>
  <si>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</si>
  <si>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</si>
  <si>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</si>
  <si>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</si>
  <si>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</si>
  <si>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</si>
  <si>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</si>
  <si>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</si>
  <si>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</si>
  <si>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</si>
  <si>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</si>
  <si>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</si>
  <si>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</si>
  <si>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</si>
  <si>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</si>
  <si>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</si>
  <si>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</si>
  <si>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</si>
  <si>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</si>
  <si>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</si>
  <si>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</si>
  <si>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</si>
  <si>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</si>
  <si>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</si>
  <si>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</si>
  <si>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</si>
  <si>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</si>
  <si>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</si>
  <si>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</si>
  <si>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</si>
  <si>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</si>
  <si>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</si>
  <si>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</si>
  <si>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</si>
  <si>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</si>
  <si>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</si>
  <si>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</si>
  <si>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</si>
  <si>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</si>
  <si>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</si>
  <si>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</si>
  <si>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</si>
  <si>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</si>
  <si>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</si>
  <si>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</si>
  <si>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</si>
  <si>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</si>
  <si>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</si>
  <si>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</si>
  <si>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</si>
  <si>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</si>
  <si>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</si>
  <si>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</si>
  <si>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</si>
  <si>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</si>
  <si>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</si>
  <si>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</si>
  <si>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</si>
  <si>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</si>
  <si>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</si>
  <si>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</si>
  <si>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</si>
  <si>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</si>
  <si>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</si>
  <si>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</si>
  <si>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</si>
  <si>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</si>
  <si>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</si>
  <si>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</si>
  <si>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</si>
  <si>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</si>
  <si>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</si>
  <si>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</si>
  <si>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</si>
  <si>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</si>
  <si>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</si>
  <si>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</si>
  <si>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</si>
  <si>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</si>
  <si>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</si>
  <si>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</si>
  <si>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</si>
  <si>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</si>
  <si>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</si>
  <si>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</si>
  <si>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</si>
  <si>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</si>
  <si>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</si>
  <si>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</si>
  <si>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</si>
  <si>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</si>
  <si>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</si>
  <si>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</si>
  <si>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</si>
  <si>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</si>
  <si>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</si>
  <si>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</si>
  <si>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</si>
  <si>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</si>
  <si>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</si>
  <si>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</si>
  <si>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</si>
  <si>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</si>
  <si>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</si>
  <si>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</si>
  <si>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</si>
  <si>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</si>
  <si>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</si>
  <si>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</si>
  <si>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</si>
  <si>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</si>
  <si>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</si>
  <si>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</si>
  <si>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</si>
  <si>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</si>
  <si>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</si>
  <si>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</si>
  <si>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</si>
  <si>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</si>
  <si>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</si>
  <si>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</si>
  <si>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</si>
  <si>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</si>
  <si>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</si>
  <si>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</si>
  <si>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</si>
  <si>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</si>
  <si>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</si>
  <si>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</si>
  <si>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</si>
  <si>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</si>
  <si>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</si>
  <si>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</si>
  <si>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</si>
  <si>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</si>
  <si>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</si>
  <si>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</si>
  <si>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</si>
  <si>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</si>
  <si>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</si>
  <si>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</si>
  <si>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</si>
  <si>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</si>
  <si>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</si>
  <si>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</si>
  <si>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</si>
  <si>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</si>
  <si>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</si>
  <si>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</si>
  <si>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</si>
  <si>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</si>
  <si>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</si>
  <si>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</si>
  <si>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</si>
  <si>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</si>
  <si>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</si>
  <si>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</si>
  <si>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</si>
  <si>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</si>
  <si>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</si>
  <si>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</si>
  <si>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</si>
  <si>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</si>
  <si>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</si>
  <si>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</si>
  <si>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</si>
  <si>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</si>
  <si>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</si>
  <si>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</si>
  <si>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</si>
  <si>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</si>
  <si>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</si>
  <si>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</si>
  <si>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</si>
  <si>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</si>
  <si>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</si>
  <si>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</si>
  <si>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</si>
  <si>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</si>
  <si>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</si>
  <si>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</si>
  <si>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</si>
  <si>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</si>
  <si>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</si>
  <si>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</si>
  <si>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</si>
  <si>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</si>
  <si>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</si>
  <si>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</si>
  <si>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</si>
  <si>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</si>
  <si>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</si>
  <si>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</si>
  <si>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</si>
  <si>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</si>
  <si>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</si>
  <si>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</si>
  <si>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</si>
  <si>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</si>
  <si>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</si>
  <si>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</si>
  <si>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</si>
  <si>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</si>
  <si>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</si>
  <si>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</si>
  <si>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</si>
  <si>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</si>
  <si>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</si>
  <si>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</si>
  <si>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</si>
  <si>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</si>
  <si>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</si>
  <si>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</si>
  <si>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</si>
  <si>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</si>
  <si>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</si>
  <si>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</si>
  <si>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</si>
  <si>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</si>
  <si>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</si>
  <si>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</si>
  <si>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</si>
  <si>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</si>
  <si>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</si>
  <si>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</si>
  <si>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</si>
  <si>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</si>
  <si>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</si>
  <si>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</si>
  <si>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</si>
  <si>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</si>
  <si>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</si>
  <si>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</si>
  <si>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</si>
  <si>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</si>
  <si>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</si>
  <si>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</si>
  <si>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</si>
  <si>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</si>
  <si>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</si>
  <si>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</si>
  <si>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</si>
  <si>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</si>
  <si>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</si>
  <si>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</si>
  <si>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</si>
  <si>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</si>
  <si>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</si>
  <si>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</si>
  <si>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</si>
  <si>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</si>
  <si>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</si>
  <si>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</si>
  <si>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</si>
  <si>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</si>
  <si>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</si>
  <si>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</si>
  <si>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</si>
  <si>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</si>
  <si>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</si>
  <si>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</si>
  <si>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</si>
  <si>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</si>
  <si>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</si>
  <si>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</si>
  <si>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</si>
  <si>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</si>
  <si>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</si>
  <si>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</si>
  <si>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</si>
  <si>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</si>
  <si>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</si>
  <si>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</si>
  <si>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</si>
  <si>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</si>
  <si>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</si>
  <si>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</si>
  <si>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</si>
  <si>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</si>
  <si>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</si>
  <si>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</si>
  <si>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</si>
  <si>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</si>
  <si>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</si>
  <si>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</si>
  <si>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</si>
  <si>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</si>
  <si>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</si>
  <si>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</si>
  <si>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</si>
  <si>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</si>
  <si>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</si>
  <si>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</si>
  <si>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</si>
  <si>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</si>
  <si>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</si>
  <si>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</si>
  <si>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</si>
  <si>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</si>
  <si>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</si>
  <si>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</si>
  <si>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</si>
  <si>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</si>
  <si>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</si>
  <si>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</si>
  <si>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</si>
  <si>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</si>
  <si>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</si>
  <si>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</si>
  <si>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</si>
  <si>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</si>
  <si>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</si>
  <si>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</si>
  <si>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</si>
  <si>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</si>
  <si>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</si>
  <si>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</si>
  <si>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</si>
  <si>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</si>
  <si>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</si>
  <si>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</si>
  <si>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</si>
  <si>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</si>
  <si>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</si>
  <si>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</si>
  <si>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</si>
  <si>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</si>
  <si>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</si>
  <si>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</si>
  <si>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</si>
  <si>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</si>
  <si>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</si>
  <si>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</si>
  <si>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</si>
  <si>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</si>
  <si>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</si>
  <si>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</si>
  <si>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</si>
  <si>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</si>
  <si>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</si>
  <si>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</si>
  <si>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</si>
  <si>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</si>
  <si>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</si>
  <si>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</si>
  <si>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</si>
  <si>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</si>
  <si>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</si>
  <si>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</si>
  <si>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</si>
  <si>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</si>
  <si>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</si>
  <si>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</si>
  <si>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</si>
  <si>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</si>
  <si>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</si>
  <si>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</si>
  <si>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</si>
  <si>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</si>
  <si>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</si>
  <si>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</si>
  <si>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</si>
  <si>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</si>
  <si>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</si>
  <si>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</si>
  <si>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</si>
  <si>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</si>
  <si>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</si>
  <si>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</si>
  <si>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</si>
  <si>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</si>
  <si>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</si>
  <si>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</si>
  <si>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</si>
  <si>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</si>
  <si>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</si>
  <si>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</si>
  <si>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</si>
  <si>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</si>
  <si>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</si>
  <si>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</si>
  <si>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</si>
  <si>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</si>
  <si>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</si>
  <si>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</si>
  <si>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</si>
  <si>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</si>
  <si>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</si>
  <si>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</si>
  <si>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</si>
  <si>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</si>
  <si>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</si>
  <si>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</si>
  <si>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</si>
  <si>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</si>
  <si>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</si>
  <si>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</si>
  <si>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</si>
  <si>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</si>
  <si>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</si>
  <si>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</si>
  <si>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</si>
  <si>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</si>
  <si>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</si>
  <si>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</si>
  <si>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</si>
  <si>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</si>
  <si>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</si>
  <si>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</si>
  <si>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</si>
  <si>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</si>
  <si>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</si>
  <si>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</si>
  <si>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</si>
  <si>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</si>
  <si>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</si>
  <si>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</si>
  <si>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</si>
  <si>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</si>
  <si>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</si>
  <si>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</si>
  <si>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</si>
  <si>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</si>
  <si>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</si>
  <si>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</si>
  <si>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</si>
  <si>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</si>
  <si>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</si>
  <si>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</si>
  <si>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</si>
  <si>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</si>
  <si>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</si>
  <si>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</si>
  <si>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</si>
  <si>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</si>
  <si>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</si>
  <si>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</si>
  <si>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</si>
  <si>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</si>
  <si>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</si>
  <si>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</si>
  <si>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</si>
  <si>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</si>
  <si>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</si>
  <si>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</si>
  <si>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</si>
  <si>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</si>
  <si>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</si>
  <si>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</si>
  <si>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</si>
  <si>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</si>
  <si>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</si>
  <si>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</si>
  <si>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</si>
  <si>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</si>
  <si>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</si>
  <si>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</si>
  <si>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</si>
  <si>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</si>
  <si>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</si>
  <si>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</si>
  <si>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</si>
  <si>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</si>
  <si>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</si>
  <si>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</si>
  <si>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</si>
  <si>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</si>
  <si>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</si>
  <si>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</si>
  <si>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</si>
  <si>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</si>
  <si>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</si>
  <si>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</si>
  <si>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</si>
  <si>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</si>
  <si>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</si>
  <si>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</si>
  <si>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</si>
  <si>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</si>
  <si>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</si>
  <si>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</si>
  <si>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</si>
  <si>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</si>
  <si>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</si>
  <si>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</si>
  <si>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</si>
  <si>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</si>
  <si>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</si>
  <si>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</si>
  <si>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</si>
  <si>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</si>
  <si>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</si>
  <si>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</si>
  <si>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</si>
  <si>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</si>
  <si>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</si>
  <si>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</si>
  <si>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</si>
  <si>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</si>
  <si>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</si>
  <si>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</si>
  <si>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</si>
  <si>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</si>
  <si>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</si>
  <si>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</si>
  <si>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</si>
  <si>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</si>
  <si>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</si>
  <si>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</si>
  <si>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</si>
  <si>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</si>
  <si>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</si>
  <si>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</si>
  <si>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</si>
  <si>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</si>
  <si>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</si>
  <si>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</si>
  <si>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</si>
  <si>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</si>
  <si>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</si>
  <si>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</si>
  <si>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</si>
  <si>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</si>
  <si>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</si>
  <si>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</si>
  <si>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</si>
  <si>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</si>
  <si>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</si>
  <si>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</si>
  <si>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</si>
  <si>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</si>
  <si>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</si>
  <si>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</si>
  <si>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</si>
  <si>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</si>
  <si>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</si>
  <si>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</si>
  <si>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</si>
  <si>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</si>
  <si>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</si>
  <si>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</si>
  <si>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</si>
  <si>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</si>
  <si>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</si>
  <si>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</si>
  <si>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</si>
  <si>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</si>
  <si>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</si>
  <si>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</si>
  <si>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</si>
  <si>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</si>
  <si>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</si>
  <si>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</si>
  <si>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</si>
  <si>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</si>
  <si>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</si>
  <si>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</si>
  <si>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</si>
  <si>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</si>
  <si>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</si>
  <si>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</si>
  <si>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</si>
  <si>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</si>
  <si>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</si>
  <si>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</si>
  <si>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</si>
  <si>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</si>
  <si>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</si>
  <si>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</si>
  <si>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</si>
  <si>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</si>
  <si>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</si>
  <si>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</si>
  <si>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</si>
  <si>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</si>
  <si>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</si>
  <si>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</si>
  <si>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</si>
  <si>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</si>
  <si>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</si>
  <si>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</si>
  <si>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</si>
  <si>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</si>
  <si>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</si>
  <si>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</si>
  <si>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</si>
  <si>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</si>
  <si>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</si>
  <si>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</si>
  <si>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</si>
  <si>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</si>
  <si>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</si>
  <si>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</si>
  <si>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</si>
  <si>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</si>
  <si>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</si>
  <si>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</si>
  <si>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</si>
  <si>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</si>
  <si>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</si>
  <si>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</si>
  <si>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</si>
  <si>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</si>
  <si>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</si>
  <si>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</si>
  <si>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</si>
  <si>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</si>
  <si>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</si>
  <si>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</si>
  <si>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</si>
  <si>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</si>
  <si>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</si>
  <si>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</si>
  <si>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</si>
  <si>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</si>
  <si>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</si>
  <si>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</si>
  <si>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</si>
  <si>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</si>
  <si>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</si>
  <si>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</si>
  <si>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</si>
  <si>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</si>
  <si>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</si>
  <si>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</si>
  <si>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</si>
  <si>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</si>
  <si>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</si>
  <si>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</si>
  <si>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</si>
  <si>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</si>
  <si>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</si>
  <si>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</si>
  <si>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</si>
  <si>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</si>
  <si>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</si>
  <si>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</si>
  <si>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</si>
  <si>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</si>
  <si>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</si>
  <si>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</si>
  <si>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</si>
  <si>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</si>
  <si>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</si>
  <si>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</si>
  <si>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</si>
  <si>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</si>
  <si>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</si>
  <si>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</si>
  <si>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</si>
  <si>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</si>
  <si>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</si>
  <si>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</si>
  <si>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</si>
  <si>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</si>
  <si>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</si>
  <si>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</si>
  <si>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</si>
  <si>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</si>
  <si>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</si>
  <si>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</si>
  <si>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</si>
  <si>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</si>
  <si>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</si>
  <si>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</si>
  <si>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</si>
  <si>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</si>
  <si>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</si>
  <si>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</si>
  <si>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</si>
  <si>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</si>
  <si>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</si>
  <si>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</si>
  <si>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</si>
  <si>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</si>
  <si>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</si>
  <si>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</si>
  <si>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</si>
  <si>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</si>
  <si>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</si>
  <si>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</si>
  <si>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</si>
  <si>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</si>
  <si>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</si>
  <si>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</si>
  <si>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</si>
  <si>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</si>
  <si>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</si>
  <si>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</si>
  <si>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</si>
  <si>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</si>
  <si>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</si>
  <si>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</si>
  <si>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</si>
  <si>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</si>
  <si>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</si>
  <si>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</si>
  <si>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</si>
  <si>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</si>
  <si>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</si>
  <si>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</si>
  <si>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</si>
  <si>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</si>
  <si>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</si>
  <si>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</si>
  <si>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</si>
  <si>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</si>
  <si>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</si>
  <si>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</si>
  <si>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</si>
  <si>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</si>
  <si>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</si>
  <si>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</si>
  <si>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</si>
  <si>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</si>
  <si>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</si>
  <si>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</si>
  <si>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</si>
  <si>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</si>
  <si>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</si>
  <si>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</si>
  <si>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</si>
  <si>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</si>
  <si>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</si>
  <si>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</si>
  <si>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</si>
  <si>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</si>
  <si>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</si>
  <si>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</si>
  <si>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</si>
  <si>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</si>
  <si>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</si>
  <si>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</si>
  <si>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</si>
  <si>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</si>
  <si>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</si>
  <si>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</si>
  <si>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</si>
  <si>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</si>
  <si>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</si>
  <si>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</si>
  <si>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</si>
  <si>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</si>
  <si>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</si>
  <si>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</si>
  <si>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</si>
  <si>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</si>
  <si>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</si>
  <si>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</si>
  <si>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</si>
  <si>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</si>
  <si>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</si>
  <si>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</si>
  <si>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</si>
  <si>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</si>
  <si>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</si>
  <si>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</si>
  <si>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</si>
  <si>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</si>
  <si>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</si>
  <si>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</si>
  <si>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</si>
  <si>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</si>
  <si>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</si>
  <si>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</si>
  <si>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</si>
  <si>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</si>
  <si>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</si>
  <si>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</si>
  <si>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</si>
  <si>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</si>
  <si>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</si>
  <si>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</si>
  <si>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</si>
  <si>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</si>
  <si>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</si>
  <si>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</si>
  <si>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</si>
  <si>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</si>
  <si>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</si>
  <si>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</si>
  <si>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</si>
  <si>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</si>
  <si>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</si>
  <si>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</si>
  <si>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</si>
  <si>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</si>
  <si>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</si>
  <si>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</si>
  <si>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</si>
  <si>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</si>
  <si>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</si>
  <si>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</si>
  <si>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</si>
  <si>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</si>
  <si>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</si>
  <si>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</si>
  <si>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</si>
  <si>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</si>
  <si>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</si>
  <si>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</si>
  <si>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</si>
  <si>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</si>
  <si>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</si>
  <si>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</si>
  <si>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</si>
  <si>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</si>
  <si>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</si>
  <si>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</si>
  <si>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</si>
  <si>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</si>
  <si>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</si>
  <si>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</si>
  <si>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</si>
  <si>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</si>
  <si>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</si>
  <si>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</si>
  <si>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</si>
  <si>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</si>
  <si>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</si>
  <si>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</si>
  <si>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</si>
  <si>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</si>
  <si>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</si>
  <si>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</si>
  <si>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</si>
  <si>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</si>
  <si>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</si>
  <si>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</si>
  <si>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</si>
  <si>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</si>
  <si>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</si>
  <si>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</si>
  <si>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</si>
  <si>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</si>
  <si>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</si>
  <si>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</si>
  <si>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</si>
  <si>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</si>
  <si>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</si>
  <si>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</si>
  <si>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</si>
  <si>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</si>
  <si>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</si>
  <si>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</si>
  <si>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</si>
  <si>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</si>
  <si>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</si>
  <si>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</si>
  <si>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</si>
  <si>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</si>
  <si>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</si>
  <si>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</si>
  <si>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</si>
  <si>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</si>
  <si>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</si>
  <si>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</si>
  <si>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</si>
  <si>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</si>
  <si>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</si>
  <si>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</si>
  <si>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</si>
  <si>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</si>
  <si>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</si>
  <si>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</si>
  <si>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</si>
  <si>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</si>
  <si>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</si>
  <si>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</si>
  <si>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</si>
  <si>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</si>
  <si>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</si>
  <si>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</si>
  <si>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</si>
  <si>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</si>
  <si>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</si>
  <si>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</si>
  <si>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</si>
  <si>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</si>
  <si>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</si>
  <si>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</si>
  <si>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</si>
  <si>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</si>
  <si>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</si>
  <si>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</si>
  <si>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</si>
  <si>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</si>
  <si>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</si>
  <si>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</si>
  <si>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</si>
  <si>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</si>
  <si>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</si>
  <si>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</si>
  <si>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</si>
  <si>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</si>
  <si>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</si>
  <si>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</si>
  <si>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</si>
  <si>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</si>
  <si>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</si>
  <si>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</si>
  <si>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</si>
  <si>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</si>
  <si>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</si>
  <si>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</si>
  <si>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</si>
  <si>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</si>
  <si>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</si>
  <si>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</si>
  <si>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</si>
  <si>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</si>
  <si>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</si>
  <si>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</si>
  <si>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</si>
  <si>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</si>
  <si>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</si>
  <si>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</si>
  <si>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</si>
  <si>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</si>
  <si>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</si>
  <si>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</si>
  <si>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</si>
  <si>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</si>
  <si>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</si>
  <si>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</si>
  <si>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</si>
  <si>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</si>
  <si>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</si>
  <si>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</si>
  <si>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</si>
  <si>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</si>
  <si>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</si>
  <si>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</si>
  <si>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</si>
  <si>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</si>
  <si>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</si>
  <si>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</si>
  <si>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</si>
  <si>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</si>
  <si>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</si>
  <si>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</si>
  <si>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</si>
  <si>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</si>
  <si>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</si>
  <si>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</si>
  <si>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</si>
  <si>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</si>
  <si>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</si>
  <si>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</si>
  <si>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</si>
  <si>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</si>
  <si>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</si>
  <si>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</si>
  <si>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</si>
  <si>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</si>
  <si>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</si>
  <si>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</si>
  <si>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</si>
  <si>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</si>
  <si>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</si>
  <si>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</si>
  <si>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</si>
  <si>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</si>
  <si>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</si>
  <si>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</si>
  <si>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</si>
  <si>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</si>
  <si>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</si>
  <si>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</si>
  <si>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</si>
  <si>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</si>
  <si>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</si>
  <si>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</si>
  <si>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</si>
  <si>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</si>
  <si>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</si>
  <si>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</si>
  <si>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</si>
  <si>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</si>
  <si>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</si>
  <si>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</si>
  <si>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</si>
  <si>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</si>
  <si>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</si>
  <si>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</si>
  <si>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</si>
  <si>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</si>
  <si>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</si>
  <si>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</si>
  <si>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</si>
  <si>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</si>
  <si>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</si>
  <si>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</si>
  <si>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</si>
  <si>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</si>
  <si>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</si>
  <si>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</si>
  <si>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</si>
  <si>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</si>
  <si>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</si>
  <si>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</si>
  <si>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</si>
  <si>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</si>
  <si>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</si>
  <si>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</si>
  <si>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</si>
  <si>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</si>
  <si>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</si>
  <si>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</si>
  <si>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</si>
  <si>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</si>
  <si>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</si>
  <si>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</si>
  <si>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</si>
  <si>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</si>
  <si>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</si>
  <si>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</si>
  <si>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</si>
  <si>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</si>
  <si>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</si>
  <si>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</si>
  <si>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</si>
  <si>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</si>
  <si>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</si>
  <si>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</si>
  <si>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</si>
  <si>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</si>
  <si>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</si>
  <si>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</si>
  <si>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</si>
  <si>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</si>
  <si>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</si>
  <si>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</si>
  <si>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</si>
  <si>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</si>
  <si>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</si>
  <si>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</si>
  <si>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</si>
  <si>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</si>
  <si>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</si>
  <si>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</si>
  <si>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</si>
  <si>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</si>
  <si>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</si>
  <si>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</si>
  <si>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</si>
  <si>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</si>
  <si>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</si>
  <si>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</si>
  <si>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</si>
  <si>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</si>
  <si>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</si>
  <si>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</si>
  <si>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</si>
  <si>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</si>
  <si>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</si>
  <si>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</si>
  <si>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</si>
  <si>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</si>
  <si>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</si>
  <si>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</si>
  <si>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</si>
  <si>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</si>
  <si>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</si>
  <si>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</si>
  <si>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</si>
  <si>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</si>
  <si>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</si>
  <si>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</si>
  <si>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</si>
  <si>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</si>
  <si>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</si>
  <si>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</si>
  <si>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</si>
  <si>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</si>
  <si>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</si>
  <si>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</si>
  <si>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</si>
  <si>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</si>
  <si>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</si>
  <si>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</si>
  <si>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</si>
  <si>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</si>
  <si>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</si>
  <si>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</si>
  <si>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</si>
  <si>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</si>
  <si>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</si>
  <si>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</si>
  <si>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</si>
  <si>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</si>
  <si>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</si>
  <si>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</si>
  <si>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</si>
  <si>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</si>
  <si>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</si>
  <si>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</si>
  <si>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</si>
  <si>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</si>
  <si>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</si>
  <si>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</si>
  <si>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</si>
  <si>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</si>
  <si>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</si>
  <si>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</si>
  <si>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</si>
  <si>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</si>
  <si>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</si>
  <si>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</si>
  <si>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</si>
  <si>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</si>
  <si>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</si>
  <si>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</si>
  <si>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</si>
  <si>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</si>
  <si>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</si>
  <si>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</si>
  <si>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</si>
  <si>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</si>
  <si>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</si>
  <si>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</si>
  <si>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</si>
  <si>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</si>
  <si>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</si>
  <si>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</si>
  <si>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</si>
  <si>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</si>
  <si>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</si>
  <si>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</si>
  <si>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</si>
  <si>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</si>
  <si>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</si>
  <si>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</si>
  <si>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</si>
  <si>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</si>
  <si>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</si>
  <si>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</si>
  <si>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</si>
  <si>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</si>
  <si>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</si>
  <si>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</si>
  <si>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</si>
  <si>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</si>
  <si>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</si>
  <si>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</si>
  <si>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</si>
  <si>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</si>
  <si>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</si>
  <si>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</si>
  <si>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</si>
  <si>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</si>
  <si>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</si>
  <si>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</si>
  <si>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</si>
  <si>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</si>
  <si>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</si>
  <si>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</si>
  <si>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</si>
  <si>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</si>
  <si>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</si>
  <si>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</si>
  <si>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</si>
  <si>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</si>
  <si>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</si>
  <si>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</si>
  <si>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</si>
  <si>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</si>
  <si>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</si>
  <si>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</si>
  <si>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</si>
  <si>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</si>
  <si>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</si>
  <si>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</si>
  <si>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</si>
  <si>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</si>
  <si>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</si>
  <si>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</si>
  <si>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</si>
  <si>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</si>
  <si>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</si>
  <si>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</si>
  <si>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</si>
  <si>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</si>
  <si>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</si>
  <si>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</si>
  <si>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</si>
  <si>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</si>
  <si>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</si>
  <si>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</si>
  <si>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</si>
  <si>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</si>
  <si>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</si>
  <si>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</si>
  <si>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</si>
  <si>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</si>
  <si>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</si>
  <si>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</si>
  <si>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</si>
  <si>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</si>
  <si>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</si>
  <si>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</si>
  <si>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</si>
  <si>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</si>
  <si>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</si>
  <si>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</si>
  <si>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</si>
  <si>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</si>
  <si>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</si>
  <si>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</si>
  <si>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</si>
  <si>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</si>
  <si>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</si>
  <si>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</si>
  <si>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</si>
  <si>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</si>
  <si>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</si>
  <si>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</si>
  <si>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</si>
  <si>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</si>
  <si>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</si>
  <si>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</si>
  <si>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</si>
  <si>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</si>
  <si>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</si>
  <si>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</si>
  <si>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</si>
  <si>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</si>
  <si>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</si>
  <si>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</si>
  <si>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</si>
  <si>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</si>
  <si>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</si>
  <si>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</si>
  <si>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</si>
  <si>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</si>
  <si>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</si>
  <si>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</si>
  <si>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</si>
  <si>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</si>
  <si>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</si>
  <si>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</si>
  <si>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</si>
  <si>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</si>
  <si>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</si>
  <si>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</si>
  <si>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</si>
  <si>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</si>
  <si>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</si>
  <si>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</si>
  <si>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</si>
  <si>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</si>
  <si>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</si>
  <si>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</si>
  <si>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</si>
  <si>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</si>
  <si>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</si>
  <si>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</si>
  <si>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</si>
  <si>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</si>
  <si>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</si>
  <si>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</si>
  <si>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</si>
  <si>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</si>
  <si>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</si>
  <si>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</si>
  <si>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</si>
  <si>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</si>
  <si>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</si>
  <si>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</si>
  <si>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</si>
  <si>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</si>
  <si>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</si>
  <si>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</si>
  <si>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</si>
  <si>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</si>
  <si>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</si>
  <si>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</si>
  <si>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</si>
  <si>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</si>
  <si>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</si>
  <si>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</si>
  <si>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</si>
  <si>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</si>
  <si>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</si>
  <si>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</si>
  <si>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</si>
  <si>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</si>
  <si>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</si>
  <si>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</si>
  <si>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</si>
  <si>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</si>
  <si>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</si>
  <si>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</si>
  <si>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</si>
  <si>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</si>
  <si>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</si>
  <si>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</si>
  <si>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</si>
  <si>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</si>
  <si>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</si>
  <si>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</si>
  <si>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</si>
  <si>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</si>
  <si>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</si>
  <si>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</si>
  <si>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</si>
  <si>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</si>
  <si>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</si>
  <si>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</si>
  <si>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</si>
  <si>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</si>
  <si>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</si>
  <si>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</si>
  <si>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</si>
  <si>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</si>
  <si>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</si>
  <si>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</si>
  <si>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</si>
  <si>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</si>
  <si>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</si>
  <si>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</si>
  <si>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</si>
  <si>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</si>
  <si>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</si>
  <si>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</si>
  <si>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</si>
  <si>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</si>
  <si>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</si>
  <si>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</si>
  <si>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</si>
  <si>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</si>
  <si>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</si>
  <si>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</si>
  <si>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</si>
  <si>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</si>
  <si>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</si>
  <si>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</si>
  <si>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</si>
  <si>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</si>
  <si>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</si>
  <si>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</si>
  <si>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</si>
  <si>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</si>
  <si>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</si>
  <si>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</si>
  <si>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</si>
  <si>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</si>
  <si>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</si>
  <si>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</si>
  <si>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</si>
  <si>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</si>
  <si>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</si>
  <si>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</si>
  <si>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</si>
  <si>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</si>
  <si>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</si>
  <si>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</si>
  <si>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</si>
  <si>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</si>
  <si>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</si>
  <si>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ZAGREB, 20.09.2019.</t>
  </si>
  <si>
    <t>Brankica Božić</t>
  </si>
  <si>
    <t>branka.bozic@iztzg.hr</t>
  </si>
  <si>
    <t>3068 INSTITUT ZA TURIZAM</t>
  </si>
  <si>
    <t>Agencija za mobilnost i EU programe</t>
  </si>
  <si>
    <t>Workbased learning for seasonal hospitality worker. Projekt - učenje na radnom mjestu za sezonske turističke djelatnike” ima za cilj razviti učinkovit i održiv okvir za strukovno obrazovanje i osposobljavanje u sektoru turizma, a konkretno u sektoru ugostiteljstva namijenjenog za mala i srednja poduzeća koja zapošljavaju sezonsko osoblje.</t>
  </si>
  <si>
    <t>„SPEcialists in Cultural Heritage and Attractive Living Environment“ (akronim je SPECHALE). Podupiranje stručnjaka za kulturnu baštinu i atraktivno životno okruženje, uključujući međusobnu suradnju i inovacije između javnih tijela, dionika turizma, kreatora javnih politika i visokih učilišta u 5 zemalja Europske unije (Francuska, Italija, Portugal, Hrvatska i Latvija)</t>
  </si>
  <si>
    <t>EU PODPROJEKT 4 2014 - 2020 Interreg V-A
Italy - Croatia CBC Programme. "SLIDES - Smart strategies for sustainable tourism in LIvely cultural DEStinations"</t>
  </si>
  <si>
    <t>ERDF</t>
  </si>
  <si>
    <t>Smart strategies for sustainable tourism in LIvely cultural DEStinations. Cilj projekta je razvoj prekogranične pametne metodologije i strategije za očuvanje i valorizaciju neiskorištene materijalne i nematerijalne kulturne baštine, promicanje održivog teritorijalnog razvoja, s naglaskom na „živoj baštini“, tj. obrtničkim i kreativnim djelatnostima. Projektom će se pratiti i turistički tokovi, provesti mjerenja opterećenosti pojedinih kulturnih i prirodnih atrakcija te razraditi metodologija kako preventivno djelovati na smanjenje prometnih čepova i redova za ulazak na pojedine turističke lokalitete i atrakcije.</t>
  </si>
  <si>
    <t>EU PODPROJEKT 5 Interreg Europe.  Authentic tourism based on local cultural flavours (akronim je Local Flavours)</t>
  </si>
  <si>
    <t>Authentic tourism based on local cultural flavours. Cilj projekta je poboljšati politike koje podržavaju mjesta koja nisu u mogućnosti da u potpunosti iskoriste svoje kulturno naslijeđe. Projekt će pomoći partnerima da odgovore na izazov pronalaženja najučinkovitijih načina podrške jedinstvenim lokalnim web lokacijama s inovativnim alatom za analizu, opsežnom razmjenom znanja i potpomognutom interakcijom s lokalnim javnim i privatnim dionicima. Na taj se način mogu pravilno istražiti specifični lokalni i regionalni potencijali i uska grla i koristiti za razradu pravih okvira politike razvoja i pozicioniranja novih autentičnih destinacija. Rezultat suradnje na ovom projektu bit će 8 glavnih akcijskih planova, usmjerenih na različite instrumente koji će podržati adresirane lokacije u njihovoj težnji za integracijom i integriranjem aktera u regionalni turizam, temeljen na njihovim prepoznatim i pravilno korištenim izvornim kulturnim dobrima.</t>
  </si>
  <si>
    <t xml:space="preserve"> ADC Moura Portugal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</si>
</sst>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6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indexed="8"/>
      <name val="Arial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7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6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7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7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7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6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7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7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8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65" fillId="18" borderId="6" xfId="0" applyFont="1" applyFill="1" applyBorder="1" applyAlignment="1" applyProtection="1">
      <alignment wrapText="1"/>
      <protection locked="0"/>
    </xf>
    <xf numFmtId="0" fontId="13" fillId="9" borderId="1" xfId="16" applyAlignment="1" applyProtection="1">
      <alignment horizontal="left" vertical="center" wrapText="1" indent="1" justifyLastLine="1"/>
      <protection locked="0"/>
    </xf>
    <xf numFmtId="0" fontId="66" fillId="18" borderId="6" xfId="0" applyNumberFormat="1" applyFont="1" applyFill="1" applyBorder="1" applyAlignment="1" applyProtection="1">
      <alignment vertical="center" wrapText="1"/>
      <protection locked="0"/>
    </xf>
    <xf numFmtId="4" fontId="24" fillId="0" borderId="0" xfId="18" applyNumberFormat="1" applyFont="1" applyFill="1" applyBorder="1" applyAlignment="1" applyProtection="1">
      <alignment horizontal="left" vertical="center" wrapText="1"/>
      <protection locked="0"/>
    </xf>
    <xf numFmtId="4" fontId="24" fillId="0" borderId="1" xfId="18" applyNumberFormat="1" applyFont="1" applyFill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ormal" xfId="0" builtinId="0"/>
    <cellStyle name="Normal 2" xfId="2" xr:uid="{00000000-0005-0000-0000-000017000000}"/>
    <cellStyle name="Normal 3" xfId="20" xr:uid="{00000000-0005-0000-0000-000018000000}"/>
    <cellStyle name="Normal 3 3" xfId="3" xr:uid="{00000000-0005-0000-0000-000019000000}"/>
    <cellStyle name="Normal 6" xfId="4" xr:uid="{00000000-0005-0000-0000-00001A000000}"/>
    <cellStyle name="Obično_01_ZAGREBAČKA ŽUPANIJA" xfId="73" xr:uid="{00000000-0005-0000-0000-00001B000000}"/>
    <cellStyle name="Obično_14_OSJEČKO-BARANJSKA ŽUPANIJA" xfId="74" xr:uid="{00000000-0005-0000-0000-00001C000000}"/>
    <cellStyle name="Obično_List4" xfId="5" xr:uid="{00000000-0005-0000-0000-00001D000000}"/>
    <cellStyle name="Obično_List7" xfId="6" xr:uid="{00000000-0005-0000-0000-00001E000000}"/>
    <cellStyle name="Obično_List8" xfId="7" xr:uid="{00000000-0005-0000-0000-00001F000000}"/>
    <cellStyle name="Obično_List9" xfId="8" xr:uid="{00000000-0005-0000-0000-000020000000}"/>
    <cellStyle name="SAPBEXaggData" xfId="9" xr:uid="{00000000-0005-0000-0000-000021000000}"/>
    <cellStyle name="SAPBEXaggDataEmph" xfId="42" xr:uid="{00000000-0005-0000-0000-000022000000}"/>
    <cellStyle name="SAPBEXaggItem" xfId="10" xr:uid="{00000000-0005-0000-0000-000023000000}"/>
    <cellStyle name="SAPBEXaggItemX" xfId="43" xr:uid="{00000000-0005-0000-0000-000024000000}"/>
    <cellStyle name="SAPBEXchaText" xfId="11" xr:uid="{00000000-0005-0000-0000-000025000000}"/>
    <cellStyle name="SAPBEXexcBad7" xfId="44" xr:uid="{00000000-0005-0000-0000-000026000000}"/>
    <cellStyle name="SAPBEXexcBad8" xfId="45" xr:uid="{00000000-0005-0000-0000-000027000000}"/>
    <cellStyle name="SAPBEXexcBad9" xfId="46" xr:uid="{00000000-0005-0000-0000-000028000000}"/>
    <cellStyle name="SAPBEXexcCritical4" xfId="47" xr:uid="{00000000-0005-0000-0000-000029000000}"/>
    <cellStyle name="SAPBEXexcCritical5" xfId="48" xr:uid="{00000000-0005-0000-0000-00002A000000}"/>
    <cellStyle name="SAPBEXexcCritical6" xfId="49" xr:uid="{00000000-0005-0000-0000-00002B000000}"/>
    <cellStyle name="SAPBEXexcGood1" xfId="50" xr:uid="{00000000-0005-0000-0000-00002C000000}"/>
    <cellStyle name="SAPBEXexcGood2" xfId="51" xr:uid="{00000000-0005-0000-0000-00002D000000}"/>
    <cellStyle name="SAPBEXexcGood3" xfId="52" xr:uid="{00000000-0005-0000-0000-00002E000000}"/>
    <cellStyle name="SAPBEXfilterDrill" xfId="53" xr:uid="{00000000-0005-0000-0000-00002F000000}"/>
    <cellStyle name="SAPBEXfilterItem" xfId="54" xr:uid="{00000000-0005-0000-0000-000030000000}"/>
    <cellStyle name="SAPBEXfilterText" xfId="55" xr:uid="{00000000-0005-0000-0000-000031000000}"/>
    <cellStyle name="SAPBEXformats" xfId="12" xr:uid="{00000000-0005-0000-0000-000032000000}"/>
    <cellStyle name="SAPBEXheaderItem" xfId="56" xr:uid="{00000000-0005-0000-0000-000033000000}"/>
    <cellStyle name="SAPBEXheaderText" xfId="57" xr:uid="{00000000-0005-0000-0000-000034000000}"/>
    <cellStyle name="SAPBEXHLevel0" xfId="13" xr:uid="{00000000-0005-0000-0000-000035000000}"/>
    <cellStyle name="SAPBEXHLevel0X" xfId="58" xr:uid="{00000000-0005-0000-0000-000036000000}"/>
    <cellStyle name="SAPBEXHLevel1" xfId="14" xr:uid="{00000000-0005-0000-0000-000037000000}"/>
    <cellStyle name="SAPBEXHLevel1X" xfId="59" xr:uid="{00000000-0005-0000-0000-000038000000}"/>
    <cellStyle name="SAPBEXHLevel2" xfId="15" xr:uid="{00000000-0005-0000-0000-000039000000}"/>
    <cellStyle name="SAPBEXHLevel2X" xfId="60" xr:uid="{00000000-0005-0000-0000-00003A000000}"/>
    <cellStyle name="SAPBEXHLevel3" xfId="16" xr:uid="{00000000-0005-0000-0000-00003B000000}"/>
    <cellStyle name="SAPBEXHLevel3X" xfId="61" xr:uid="{00000000-0005-0000-0000-00003C000000}"/>
    <cellStyle name="SAPBEXinputData" xfId="62" xr:uid="{00000000-0005-0000-0000-00003D000000}"/>
    <cellStyle name="SAPBEXItemHeader" xfId="17" xr:uid="{00000000-0005-0000-0000-00003E000000}"/>
    <cellStyle name="SAPBEXresData" xfId="63" xr:uid="{00000000-0005-0000-0000-00003F000000}"/>
    <cellStyle name="SAPBEXresDataEmph" xfId="64" xr:uid="{00000000-0005-0000-0000-000040000000}"/>
    <cellStyle name="SAPBEXresItem" xfId="65" xr:uid="{00000000-0005-0000-0000-000041000000}"/>
    <cellStyle name="SAPBEXresItemX" xfId="66" xr:uid="{00000000-0005-0000-0000-000042000000}"/>
    <cellStyle name="SAPBEXstdData" xfId="18" xr:uid="{00000000-0005-0000-0000-000043000000}"/>
    <cellStyle name="SAPBEXstdDataEmph" xfId="67" xr:uid="{00000000-0005-0000-0000-000044000000}"/>
    <cellStyle name="SAPBEXstdItem" xfId="19" xr:uid="{00000000-0005-0000-0000-000045000000}"/>
    <cellStyle name="SAPBEXstdItemX" xfId="68" xr:uid="{00000000-0005-0000-0000-000046000000}"/>
    <cellStyle name="SAPBEXtitle" xfId="69" xr:uid="{00000000-0005-0000-0000-000047000000}"/>
    <cellStyle name="SAPBEXunassignedItem" xfId="70" xr:uid="{00000000-0005-0000-0000-000048000000}"/>
    <cellStyle name="SAPBEXundefined" xfId="71" xr:uid="{00000000-0005-0000-0000-000049000000}"/>
    <cellStyle name="Sheet Title" xfId="72" xr:uid="{00000000-0005-0000-0000-00004A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3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3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3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>
          <a:extLst>
            <a:ext uri="{FF2B5EF4-FFF2-40B4-BE49-F238E27FC236}">
              <a16:creationId xmlns:a16="http://schemas.microsoft.com/office/drawing/2014/main" id="{00000000-0008-0000-0300-000005340000}"/>
            </a:ext>
          </a:extLst>
        </xdr:cNvPr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>
          <a:extLst>
            <a:ext uri="{FF2B5EF4-FFF2-40B4-BE49-F238E27FC236}">
              <a16:creationId xmlns:a16="http://schemas.microsoft.com/office/drawing/2014/main" id="{00000000-0008-0000-0300-000006340000}"/>
            </a:ext>
          </a:extLst>
        </xdr:cNvPr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>
          <a:extLst>
            <a:ext uri="{FF2B5EF4-FFF2-40B4-BE49-F238E27FC236}">
              <a16:creationId xmlns:a16="http://schemas.microsoft.com/office/drawing/2014/main" id="{00000000-0008-0000-0300-000007340000}"/>
            </a:ext>
          </a:extLst>
        </xdr:cNvPr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>
          <a:extLst>
            <a:ext uri="{FF2B5EF4-FFF2-40B4-BE49-F238E27FC236}">
              <a16:creationId xmlns:a16="http://schemas.microsoft.com/office/drawing/2014/main" id="{00000000-0008-0000-0300-000008340000}"/>
            </a:ext>
          </a:extLst>
        </xdr:cNvPr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3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3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3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3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6"/>
  <sheetViews>
    <sheetView showGridLines="0" workbookViewId="0">
      <selection activeCell="C7" sqref="C7:E7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60" t="s">
        <v>1668</v>
      </c>
      <c r="D3" s="261"/>
      <c r="E3" s="262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63" t="s">
        <v>1665</v>
      </c>
      <c r="D4" s="264"/>
      <c r="E4" s="265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63" t="s">
        <v>1666</v>
      </c>
      <c r="D5" s="264"/>
      <c r="E5" s="265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63">
        <v>13909662</v>
      </c>
      <c r="D6" s="264"/>
      <c r="E6" s="265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63" t="s">
        <v>1667</v>
      </c>
      <c r="D7" s="264"/>
      <c r="E7" s="265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9" t="s">
        <v>842</v>
      </c>
      <c r="C9" s="258"/>
      <c r="D9" s="258"/>
      <c r="E9" s="258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9" t="s">
        <v>3</v>
      </c>
      <c r="C10" s="258"/>
      <c r="D10" s="258"/>
      <c r="E10" s="258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7"/>
      <c r="C11" s="258"/>
      <c r="D11" s="258"/>
      <c r="E11" s="258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10785397</v>
      </c>
      <c r="D14" s="173">
        <f>+D15+D16</f>
        <v>10686684</v>
      </c>
      <c r="E14" s="173">
        <f>+E15+E16</f>
        <v>10303536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10778197</v>
      </c>
      <c r="D15" s="176">
        <f>'PLAN PRIHODA I PRIMITAKA '!C62</f>
        <v>10679484</v>
      </c>
      <c r="E15" s="176">
        <f>'PLAN PRIHODA I PRIMITAKA '!C98</f>
        <v>10296336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7200</v>
      </c>
      <c r="D16" s="176">
        <f>'PLAN PRIHODA I PRIMITAKA '!C69</f>
        <v>7200</v>
      </c>
      <c r="E16" s="176">
        <f>'PLAN PRIHODA I PRIMITAKA '!C105</f>
        <v>7200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11327000</v>
      </c>
      <c r="D17" s="180">
        <f>+D18+D19</f>
        <v>10539690</v>
      </c>
      <c r="E17" s="180">
        <f>+E18+E19</f>
        <v>10303536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11120800</v>
      </c>
      <c r="D18" s="182">
        <f>'PLAN RASHODA I IZDATAKA'!C72</f>
        <v>10439729</v>
      </c>
      <c r="E18" s="182">
        <f>'PLAN RASHODA I IZDATAKA'!C92</f>
        <v>10177336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206200</v>
      </c>
      <c r="D19" s="182">
        <f>'PLAN RASHODA I IZDATAKA'!C80</f>
        <v>99961</v>
      </c>
      <c r="E19" s="182">
        <f>'PLAN RASHODA I IZDATAKA'!C100</f>
        <v>126200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-541603</v>
      </c>
      <c r="D20" s="173">
        <f>+D14-D17</f>
        <v>146994</v>
      </c>
      <c r="E20" s="173">
        <f>+E14-E17</f>
        <v>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7"/>
      <c r="C21" s="258"/>
      <c r="D21" s="258"/>
      <c r="E21" s="258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950000</v>
      </c>
      <c r="D23" s="181">
        <f>'PLAN PRIHODA I PRIMITAKA '!C41</f>
        <v>408397</v>
      </c>
      <c r="E23" s="181">
        <f>'PLAN PRIHODA I PRIMITAKA '!C77</f>
        <v>555391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-408397</v>
      </c>
      <c r="D24" s="185">
        <f>'PLAN PRIHODA I PRIMITAKA '!C43</f>
        <v>-555391</v>
      </c>
      <c r="E24" s="186">
        <f>'PLAN PRIHODA I PRIMITAKA '!C79</f>
        <v>-555391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7"/>
      <c r="C25" s="258"/>
      <c r="D25" s="258"/>
      <c r="E25" s="258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7"/>
      <c r="C30" s="258"/>
      <c r="D30" s="258"/>
      <c r="E30" s="258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$L$6:$L$135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I4" sqref="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6" t="s">
        <v>812</v>
      </c>
      <c r="B1" s="266"/>
      <c r="C1" s="266"/>
      <c r="D1" s="266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08008</v>
      </c>
      <c r="B3" s="142" t="str">
        <f>IF(E3="","",VLOOKUP('Opći dio'!$C$3,'Opći dio'!$L$6:$U$135,9,FALSE))</f>
        <v>Javni instituti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6060012</v>
      </c>
      <c r="H3" s="198">
        <v>6280354</v>
      </c>
      <c r="I3" s="198">
        <v>6343662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08008</v>
      </c>
      <c r="B4" s="142" t="str">
        <f>IF(E4="","",VLOOKUP('Opći dio'!$C$3,'Opći dio'!$L$6:$U$135,9,FALSE))</f>
        <v>Javni instituti</v>
      </c>
      <c r="C4" s="202">
        <f t="shared" si="0"/>
        <v>71</v>
      </c>
      <c r="D4" s="140" t="str">
        <f t="shared" si="1"/>
        <v>Prihodi od nefin. imovine i nadoknade štete s osnova osig.</v>
      </c>
      <c r="E4" s="153">
        <v>721110071</v>
      </c>
      <c r="F4" s="141" t="str">
        <f t="shared" ref="F4:F66" si="2">IFERROR(VLOOKUP(E4,$R$6:$U$73,2,FALSE),"")</f>
        <v>Stambeni objekti za zaposlene izvor 71</v>
      </c>
      <c r="G4" s="198">
        <v>7200</v>
      </c>
      <c r="H4" s="198">
        <v>7200</v>
      </c>
      <c r="I4" s="198">
        <v>7200</v>
      </c>
      <c r="K4" s="144" t="str">
        <f t="shared" ref="K4:K67" si="3">LEFT(E4,3)</f>
        <v>721</v>
      </c>
      <c r="L4" s="144" t="str">
        <f t="shared" ref="L4:L67" si="4">LEFT(E4,2)</f>
        <v>72</v>
      </c>
    </row>
    <row r="5" spans="1:22">
      <c r="A5" s="142" t="str">
        <f>IF(E5="","",VLOOKUP('Opći dio'!$C$3,'Opći dio'!$L$6:$U$135,10,FALSE))</f>
        <v>08008</v>
      </c>
      <c r="B5" s="142" t="str">
        <f>IF(E5="","",VLOOKUP('Opći dio'!$C$3,'Opći dio'!$L$6:$U$135,9,FALSE))</f>
        <v>Javni instituti</v>
      </c>
      <c r="C5" s="202">
        <f t="shared" si="0"/>
        <v>31</v>
      </c>
      <c r="D5" s="140" t="str">
        <f t="shared" si="1"/>
        <v>Vlastiti prihodi</v>
      </c>
      <c r="E5" s="153">
        <v>6615</v>
      </c>
      <c r="F5" s="141" t="str">
        <f t="shared" si="2"/>
        <v>Prihodi od pruženih usluga</v>
      </c>
      <c r="G5" s="198">
        <v>3500000</v>
      </c>
      <c r="H5" s="198">
        <v>3700000</v>
      </c>
      <c r="I5" s="198">
        <v>3900000</v>
      </c>
      <c r="K5" s="144" t="str">
        <f t="shared" si="3"/>
        <v>661</v>
      </c>
      <c r="L5" s="144" t="str">
        <f t="shared" si="4"/>
        <v>66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08008</v>
      </c>
      <c r="B6" s="142" t="str">
        <f>IF(E6="","",VLOOKUP('Opći dio'!$C$3,'Opći dio'!$L$6:$U$135,9,FALSE))</f>
        <v>Javni instituti</v>
      </c>
      <c r="C6" s="202">
        <f t="shared" si="0"/>
        <v>31</v>
      </c>
      <c r="D6" s="140" t="str">
        <f t="shared" si="1"/>
        <v>Vlastiti prihodi</v>
      </c>
      <c r="E6" s="153">
        <v>6614</v>
      </c>
      <c r="F6" s="141" t="str">
        <f t="shared" si="2"/>
        <v>Prihodi od prodaje proizvoda i robe</v>
      </c>
      <c r="G6" s="198">
        <v>35000</v>
      </c>
      <c r="H6" s="198">
        <v>35000</v>
      </c>
      <c r="I6" s="198">
        <v>35000</v>
      </c>
      <c r="K6" s="144" t="str">
        <f t="shared" si="3"/>
        <v>661</v>
      </c>
      <c r="L6" s="144" t="str">
        <f t="shared" si="4"/>
        <v>66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08008</v>
      </c>
      <c r="B7" s="142" t="str">
        <f>IF(E7="","",VLOOKUP('Opći dio'!$C$3,'Opći dio'!$L$6:$U$135,9,FALSE))</f>
        <v>Javni instituti</v>
      </c>
      <c r="C7" s="202">
        <f t="shared" si="0"/>
        <v>43</v>
      </c>
      <c r="D7" s="140" t="str">
        <f t="shared" si="1"/>
        <v>Ostali prihodi za posebne namjene</v>
      </c>
      <c r="E7" s="153">
        <v>65268</v>
      </c>
      <c r="F7" s="141" t="str">
        <f t="shared" si="2"/>
        <v>Ostali prihodi za posebne namjene</v>
      </c>
      <c r="G7" s="198">
        <v>10017</v>
      </c>
      <c r="H7" s="198">
        <v>17691</v>
      </c>
      <c r="I7" s="198">
        <v>17674</v>
      </c>
      <c r="K7" s="144" t="str">
        <f t="shared" si="3"/>
        <v>652</v>
      </c>
      <c r="L7" s="144" t="str">
        <f t="shared" si="4"/>
        <v>65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08008</v>
      </c>
      <c r="B8" s="142" t="str">
        <f>IF(E8="","",VLOOKUP('Opći dio'!$C$3,'Opći dio'!$L$6:$U$135,9,FALSE))</f>
        <v>Javni instituti</v>
      </c>
      <c r="C8" s="202">
        <f t="shared" si="0"/>
        <v>52</v>
      </c>
      <c r="D8" s="140" t="str">
        <f t="shared" si="1"/>
        <v>Ostale pomoći</v>
      </c>
      <c r="E8" s="153">
        <v>6393</v>
      </c>
      <c r="F8" s="141" t="str">
        <f t="shared" si="2"/>
        <v>Tekući prijenosi između proračunskih korisnika istog proračuna temeljem prijenosa EU sredstava</v>
      </c>
      <c r="G8" s="198">
        <v>306608</v>
      </c>
      <c r="H8" s="198"/>
      <c r="I8" s="198"/>
      <c r="K8" s="144" t="str">
        <f t="shared" si="3"/>
        <v>639</v>
      </c>
      <c r="L8" s="144" t="str">
        <f t="shared" si="4"/>
        <v>63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08008</v>
      </c>
      <c r="B9" s="142" t="str">
        <f>IF(E9="","",VLOOKUP('Opći dio'!$C$3,'Opći dio'!$L$6:$U$135,9,FALSE))</f>
        <v>Javni instituti</v>
      </c>
      <c r="C9" s="202">
        <f t="shared" si="0"/>
        <v>51</v>
      </c>
      <c r="D9" s="140" t="str">
        <f t="shared" si="1"/>
        <v>Pomoći EU</v>
      </c>
      <c r="E9" s="153">
        <v>632311700</v>
      </c>
      <c r="F9" s="141" t="str">
        <f t="shared" si="2"/>
        <v>Tekuće pomoći od institucija i tijela EU - ostalo</v>
      </c>
      <c r="G9" s="198">
        <v>794215</v>
      </c>
      <c r="H9" s="198">
        <v>598686</v>
      </c>
      <c r="I9" s="198"/>
      <c r="K9" s="144" t="str">
        <f t="shared" si="3"/>
        <v>632</v>
      </c>
      <c r="L9" s="144" t="str">
        <f t="shared" si="4"/>
        <v>63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08008</v>
      </c>
      <c r="B10" s="142" t="str">
        <f>IF(E10="","",VLOOKUP('Opći dio'!$C$3,'Opći dio'!$L$6:$U$135,9,FALSE))</f>
        <v>Javni instituti</v>
      </c>
      <c r="C10" s="202">
        <f t="shared" si="0"/>
        <v>51</v>
      </c>
      <c r="D10" s="140" t="str">
        <f t="shared" si="1"/>
        <v>Pomoći EU</v>
      </c>
      <c r="E10" s="153">
        <v>632311700</v>
      </c>
      <c r="F10" s="141" t="str">
        <f t="shared" si="2"/>
        <v>Tekuće pomoći od institucija i tijela EU - ostalo</v>
      </c>
      <c r="G10" s="198">
        <v>72345</v>
      </c>
      <c r="H10" s="198">
        <v>47753</v>
      </c>
      <c r="I10" s="198"/>
      <c r="K10" s="144" t="str">
        <f t="shared" si="3"/>
        <v>632</v>
      </c>
      <c r="L10" s="144" t="str">
        <f t="shared" si="4"/>
        <v>63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/>
      </c>
      <c r="B11" s="142" t="str">
        <f>IF(E11="","",VLOOKUP('Opći dio'!$C$3,'Opći dio'!$L$6:$U$135,9,FALSE))</f>
        <v/>
      </c>
      <c r="C11" s="202" t="str">
        <f t="shared" si="0"/>
        <v/>
      </c>
      <c r="D11" s="140" t="str">
        <f t="shared" si="1"/>
        <v/>
      </c>
      <c r="E11" s="153"/>
      <c r="F11" s="141" t="str">
        <f t="shared" si="2"/>
        <v/>
      </c>
      <c r="G11" s="198"/>
      <c r="H11" s="198"/>
      <c r="I11" s="198"/>
      <c r="K11" s="144" t="str">
        <f t="shared" si="3"/>
        <v/>
      </c>
      <c r="L11" s="144" t="str">
        <f t="shared" si="4"/>
        <v/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/>
      </c>
      <c r="B12" s="142" t="str">
        <f>IF(E12="","",VLOOKUP('Opći dio'!$C$3,'Opći dio'!$L$6:$U$135,9,FALSE))</f>
        <v/>
      </c>
      <c r="C12" s="202" t="str">
        <f t="shared" si="0"/>
        <v/>
      </c>
      <c r="D12" s="140" t="str">
        <f t="shared" si="1"/>
        <v/>
      </c>
      <c r="E12" s="153"/>
      <c r="F12" s="141" t="str">
        <f t="shared" si="2"/>
        <v/>
      </c>
      <c r="G12" s="198"/>
      <c r="H12" s="198"/>
      <c r="I12" s="198"/>
      <c r="K12" s="144" t="str">
        <f t="shared" si="3"/>
        <v/>
      </c>
      <c r="L12" s="144" t="str">
        <f t="shared" si="4"/>
        <v/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xmlns:xlrd2="http://schemas.microsoft.com/office/spreadsheetml/2017/richdata2"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2"/>
  <sheetViews>
    <sheetView showGridLines="0" zoomScaleNormal="100" workbookViewId="0">
      <pane ySplit="2" topLeftCell="A3" activePane="bottomLeft" state="frozen"/>
      <selection pane="bottomLeft" activeCell="G36" sqref="G36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7" t="s">
        <v>811</v>
      </c>
      <c r="B1" s="267"/>
      <c r="C1" s="267"/>
      <c r="D1" s="267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08008</v>
      </c>
      <c r="B3" s="148" t="str">
        <f>IF(C3="","",VLOOKUP('Opći dio'!$C$3,'Opći dio'!$L$6:$U$135,9,FALSE))</f>
        <v>Javni instituti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901</v>
      </c>
      <c r="H3" s="149" t="str">
        <f>IFERROR(VLOOKUP(G3,$X$6:$Y$50,2,FALSE),"")</f>
        <v>REDOVNA DJELATNOST JAVNIH INSTITUTA</v>
      </c>
      <c r="I3" s="198">
        <v>4342067</v>
      </c>
      <c r="J3" s="198">
        <v>4519658</v>
      </c>
      <c r="K3" s="198">
        <v>4527825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08008</v>
      </c>
      <c r="B4" s="148" t="str">
        <f>IF(C4="","",VLOOKUP('Opći dio'!$C$3,'Opći dio'!$L$6:$U$135,9,FALSE))</f>
        <v>Javni instituti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01" t="s">
        <v>901</v>
      </c>
      <c r="H4" s="149" t="str">
        <f t="shared" ref="H4:H67" si="2">IFERROR(VLOOKUP(G4,$X$6:$Y$50,2,FALSE),"")</f>
        <v>REDOVNA DJELATNOST JAVNIH INSTITUTA</v>
      </c>
      <c r="I4" s="198">
        <v>110589</v>
      </c>
      <c r="J4" s="198">
        <v>113871</v>
      </c>
      <c r="K4" s="198">
        <v>100625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08008</v>
      </c>
      <c r="B5" s="148" t="str">
        <f>IF(C5="","",VLOOKUP('Opći dio'!$C$3,'Opći dio'!$L$6:$U$135,9,FALSE))</f>
        <v>Javni instituti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01" t="s">
        <v>901</v>
      </c>
      <c r="H5" s="149" t="str">
        <f t="shared" si="2"/>
        <v>REDOVNA DJELATNOST JAVNIH INSTITUTA</v>
      </c>
      <c r="I5" s="198">
        <v>701250</v>
      </c>
      <c r="J5" s="198">
        <v>711558</v>
      </c>
      <c r="K5" s="198">
        <v>718667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08008</v>
      </c>
      <c r="B6" s="148" t="str">
        <f>IF(C6="","",VLOOKUP('Opći dio'!$C$3,'Opći dio'!$L$6:$U$135,9,FALSE))</f>
        <v>Javni instituti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901</v>
      </c>
      <c r="H6" s="149" t="str">
        <f t="shared" si="2"/>
        <v>REDOVNA DJELATNOST JAVNIH INSTITUTA</v>
      </c>
      <c r="I6" s="198">
        <v>114116</v>
      </c>
      <c r="J6" s="198">
        <v>114116</v>
      </c>
      <c r="K6" s="198">
        <v>114116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08008</v>
      </c>
      <c r="B7" s="148" t="str">
        <f>IF(C7="","",VLOOKUP('Opći dio'!$C$3,'Opći dio'!$L$6:$U$135,9,FALSE))</f>
        <v>Javni instituti</v>
      </c>
      <c r="C7" s="154">
        <v>71</v>
      </c>
      <c r="D7" s="149" t="str">
        <f t="shared" si="1"/>
        <v>Prihodi od nefin. imovine i nadoknade štete s osnova osig.</v>
      </c>
      <c r="E7" s="154">
        <v>4221</v>
      </c>
      <c r="F7" s="149" t="str">
        <f t="shared" si="0"/>
        <v>Uredska oprema i namještaj</v>
      </c>
      <c r="G7" s="201" t="s">
        <v>909</v>
      </c>
      <c r="H7" s="149" t="str">
        <f t="shared" si="2"/>
        <v>REDOVNA DJELATNOST JAVNIH INSTITUTA (IZ EVIDENCIJSKIH PRIHODA)</v>
      </c>
      <c r="I7" s="198">
        <v>7200</v>
      </c>
      <c r="J7" s="198">
        <v>7200</v>
      </c>
      <c r="K7" s="198">
        <v>7200</v>
      </c>
      <c r="M7" s="144" t="str">
        <f t="shared" si="3"/>
        <v>422</v>
      </c>
      <c r="N7" s="144" t="str">
        <f t="shared" si="4"/>
        <v>42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08008</v>
      </c>
      <c r="B8" s="148" t="str">
        <f>IF(C8="","",VLOOKUP('Opći dio'!$C$3,'Opći dio'!$L$6:$U$135,9,FALSE))</f>
        <v>Javni instituti</v>
      </c>
      <c r="C8" s="154">
        <v>31</v>
      </c>
      <c r="D8" s="149" t="str">
        <f t="shared" si="1"/>
        <v>Vlastiti prihodi</v>
      </c>
      <c r="E8" s="154">
        <v>3111</v>
      </c>
      <c r="F8" s="149" t="str">
        <f t="shared" si="0"/>
        <v>Plaće za redovan rad</v>
      </c>
      <c r="G8" s="201" t="s">
        <v>909</v>
      </c>
      <c r="H8" s="149" t="str">
        <f t="shared" si="2"/>
        <v>REDOVNA DJELATNOST JAVNIH INSTITUTA (IZ EVIDENCIJSKIH PRIHODA)</v>
      </c>
      <c r="I8" s="198">
        <v>300000</v>
      </c>
      <c r="J8" s="198">
        <v>350000</v>
      </c>
      <c r="K8" s="198">
        <v>350000</v>
      </c>
      <c r="M8" s="144" t="str">
        <f t="shared" si="3"/>
        <v>311</v>
      </c>
      <c r="N8" s="144" t="str">
        <f t="shared" si="4"/>
        <v>31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08008</v>
      </c>
      <c r="B9" s="148" t="str">
        <f>IF(C9="","",VLOOKUP('Opći dio'!$C$3,'Opći dio'!$L$6:$U$135,9,FALSE))</f>
        <v>Javni instituti</v>
      </c>
      <c r="C9" s="154">
        <v>31</v>
      </c>
      <c r="D9" s="149" t="str">
        <f t="shared" si="1"/>
        <v>Vlastiti prihodi</v>
      </c>
      <c r="E9" s="154">
        <v>3132</v>
      </c>
      <c r="F9" s="149" t="str">
        <f t="shared" si="0"/>
        <v>Doprinosi za obvezno zdravstveno osiguranje</v>
      </c>
      <c r="G9" s="201" t="s">
        <v>909</v>
      </c>
      <c r="H9" s="149" t="str">
        <f t="shared" si="2"/>
        <v>REDOVNA DJELATNOST JAVNIH INSTITUTA (IZ EVIDENCIJSKIH PRIHODA)</v>
      </c>
      <c r="I9" s="198">
        <v>49500</v>
      </c>
      <c r="J9" s="198">
        <v>57750</v>
      </c>
      <c r="K9" s="198">
        <v>57750</v>
      </c>
      <c r="M9" s="144" t="str">
        <f t="shared" si="3"/>
        <v>313</v>
      </c>
      <c r="N9" s="144" t="str">
        <f t="shared" si="4"/>
        <v>31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08008</v>
      </c>
      <c r="B10" s="148" t="str">
        <f>IF(C10="","",VLOOKUP('Opći dio'!$C$3,'Opći dio'!$L$6:$U$135,9,FALSE))</f>
        <v>Javni instituti</v>
      </c>
      <c r="C10" s="154">
        <v>31</v>
      </c>
      <c r="D10" s="149" t="str">
        <f t="shared" si="1"/>
        <v>Vlastiti prihodi</v>
      </c>
      <c r="E10" s="154">
        <v>3211</v>
      </c>
      <c r="F10" s="149" t="str">
        <f t="shared" si="0"/>
        <v>Službena putovanja</v>
      </c>
      <c r="G10" s="201" t="s">
        <v>909</v>
      </c>
      <c r="H10" s="149" t="str">
        <f t="shared" si="2"/>
        <v>REDOVNA DJELATNOST JAVNIH INSTITUTA (IZ EVIDENCIJSKIH PRIHODA)</v>
      </c>
      <c r="I10" s="198">
        <v>557000</v>
      </c>
      <c r="J10" s="198">
        <v>557000</v>
      </c>
      <c r="K10" s="198">
        <v>557000</v>
      </c>
      <c r="M10" s="144" t="str">
        <f t="shared" si="3"/>
        <v>321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08008</v>
      </c>
      <c r="B11" s="148" t="str">
        <f>IF(C11="","",VLOOKUP('Opći dio'!$C$3,'Opći dio'!$L$6:$U$135,9,FALSE))</f>
        <v>Javni instituti</v>
      </c>
      <c r="C11" s="154">
        <v>31</v>
      </c>
      <c r="D11" s="149" t="str">
        <f t="shared" si="1"/>
        <v>Vlastiti prihodi</v>
      </c>
      <c r="E11" s="154">
        <v>3213</v>
      </c>
      <c r="F11" s="149" t="str">
        <f t="shared" si="0"/>
        <v>Stručno usavršavanje zaposlenika</v>
      </c>
      <c r="G11" s="201" t="s">
        <v>909</v>
      </c>
      <c r="H11" s="149" t="str">
        <f t="shared" si="2"/>
        <v>REDOVNA DJELATNOST JAVNIH INSTITUTA (IZ EVIDENCIJSKIH PRIHODA)</v>
      </c>
      <c r="I11" s="198">
        <v>80000</v>
      </c>
      <c r="J11" s="198">
        <v>80000</v>
      </c>
      <c r="K11" s="198">
        <v>80000</v>
      </c>
      <c r="M11" s="144" t="str">
        <f t="shared" si="3"/>
        <v>321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08008</v>
      </c>
      <c r="B12" s="148" t="str">
        <f>IF(C12="","",VLOOKUP('Opći dio'!$C$3,'Opći dio'!$L$6:$U$135,9,FALSE))</f>
        <v>Javni instituti</v>
      </c>
      <c r="C12" s="154">
        <v>31</v>
      </c>
      <c r="D12" s="149" t="str">
        <f t="shared" si="1"/>
        <v>Vlastiti prihodi</v>
      </c>
      <c r="E12" s="154">
        <v>3214</v>
      </c>
      <c r="F12" s="149" t="str">
        <f t="shared" si="0"/>
        <v>Ostale naknade troškova zaposlenima</v>
      </c>
      <c r="G12" s="201" t="s">
        <v>909</v>
      </c>
      <c r="H12" s="149" t="str">
        <f t="shared" si="2"/>
        <v>REDOVNA DJELATNOST JAVNIH INSTITUTA (IZ EVIDENCIJSKIH PRIHODA)</v>
      </c>
      <c r="I12" s="198">
        <v>6000</v>
      </c>
      <c r="J12" s="198">
        <v>6000</v>
      </c>
      <c r="K12" s="198">
        <v>6000</v>
      </c>
      <c r="M12" s="144" t="str">
        <f t="shared" si="3"/>
        <v>321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08008</v>
      </c>
      <c r="B13" s="148" t="str">
        <f>IF(C13="","",VLOOKUP('Opći dio'!$C$3,'Opći dio'!$L$6:$U$135,9,FALSE))</f>
        <v>Javni instituti</v>
      </c>
      <c r="C13" s="154">
        <v>31</v>
      </c>
      <c r="D13" s="149" t="str">
        <f t="shared" si="1"/>
        <v>Vlastiti prihodi</v>
      </c>
      <c r="E13" s="154">
        <v>3221</v>
      </c>
      <c r="F13" s="149" t="str">
        <f t="shared" si="0"/>
        <v>Uredski materijal i ostali materijalni rashodi</v>
      </c>
      <c r="G13" s="201" t="s">
        <v>909</v>
      </c>
      <c r="H13" s="149" t="str">
        <f t="shared" si="2"/>
        <v>REDOVNA DJELATNOST JAVNIH INSTITUTA (IZ EVIDENCIJSKIH PRIHODA)</v>
      </c>
      <c r="I13" s="198">
        <v>76863</v>
      </c>
      <c r="J13" s="198">
        <v>73363</v>
      </c>
      <c r="K13" s="198">
        <v>77010</v>
      </c>
      <c r="M13" s="144" t="str">
        <f t="shared" si="3"/>
        <v>322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08008</v>
      </c>
      <c r="B14" s="148" t="str">
        <f>IF(C14="","",VLOOKUP('Opći dio'!$C$3,'Opći dio'!$L$6:$U$135,9,FALSE))</f>
        <v>Javni instituti</v>
      </c>
      <c r="C14" s="154">
        <v>31</v>
      </c>
      <c r="D14" s="149" t="str">
        <f t="shared" si="1"/>
        <v>Vlastiti prihodi</v>
      </c>
      <c r="E14" s="154">
        <v>3223</v>
      </c>
      <c r="F14" s="149" t="str">
        <f t="shared" si="0"/>
        <v>Energija</v>
      </c>
      <c r="G14" s="201" t="s">
        <v>909</v>
      </c>
      <c r="H14" s="149" t="str">
        <f t="shared" si="2"/>
        <v>REDOVNA DJELATNOST JAVNIH INSTITUTA (IZ EVIDENCIJSKIH PRIHODA)</v>
      </c>
      <c r="I14" s="198">
        <v>60200</v>
      </c>
      <c r="J14" s="198">
        <v>60200</v>
      </c>
      <c r="K14" s="198">
        <v>60200</v>
      </c>
      <c r="M14" s="144" t="str">
        <f t="shared" si="3"/>
        <v>322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08008</v>
      </c>
      <c r="B15" s="148" t="str">
        <f>IF(C15="","",VLOOKUP('Opći dio'!$C$3,'Opći dio'!$L$6:$U$135,9,FALSE))</f>
        <v>Javni instituti</v>
      </c>
      <c r="C15" s="154">
        <v>31</v>
      </c>
      <c r="D15" s="149" t="str">
        <f t="shared" si="1"/>
        <v>Vlastiti prihodi</v>
      </c>
      <c r="E15" s="154">
        <v>3224</v>
      </c>
      <c r="F15" s="149" t="str">
        <f t="shared" si="0"/>
        <v>Materijal i dijelovi za tekuće i investicijsko održavanje</v>
      </c>
      <c r="G15" s="201" t="s">
        <v>909</v>
      </c>
      <c r="H15" s="149" t="str">
        <f t="shared" si="2"/>
        <v>REDOVNA DJELATNOST JAVNIH INSTITUTA (IZ EVIDENCIJSKIH PRIHODA)</v>
      </c>
      <c r="I15" s="198">
        <v>16000</v>
      </c>
      <c r="J15" s="198">
        <v>16000</v>
      </c>
      <c r="K15" s="198">
        <v>16000</v>
      </c>
      <c r="M15" s="144" t="str">
        <f t="shared" si="3"/>
        <v>322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08008</v>
      </c>
      <c r="B16" s="148" t="str">
        <f>IF(C16="","",VLOOKUP('Opći dio'!$C$3,'Opći dio'!$L$6:$U$135,9,FALSE))</f>
        <v>Javni instituti</v>
      </c>
      <c r="C16" s="154">
        <v>31</v>
      </c>
      <c r="D16" s="149" t="str">
        <f t="shared" si="1"/>
        <v>Vlastiti prihodi</v>
      </c>
      <c r="E16" s="154">
        <v>3225</v>
      </c>
      <c r="F16" s="149" t="str">
        <f t="shared" si="0"/>
        <v>Sitni inventar i auto gume</v>
      </c>
      <c r="G16" s="201" t="s">
        <v>909</v>
      </c>
      <c r="H16" s="149" t="str">
        <f t="shared" si="2"/>
        <v>REDOVNA DJELATNOST JAVNIH INSTITUTA (IZ EVIDENCIJSKIH PRIHODA)</v>
      </c>
      <c r="I16" s="198">
        <v>10000</v>
      </c>
      <c r="J16" s="198">
        <v>10000</v>
      </c>
      <c r="K16" s="198">
        <v>10000</v>
      </c>
      <c r="M16" s="144" t="str">
        <f t="shared" si="3"/>
        <v>322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08008</v>
      </c>
      <c r="B17" s="148" t="str">
        <f>IF(C17="","",VLOOKUP('Opći dio'!$C$3,'Opći dio'!$L$6:$U$135,9,FALSE))</f>
        <v>Javni instituti</v>
      </c>
      <c r="C17" s="154">
        <v>31</v>
      </c>
      <c r="D17" s="149" t="str">
        <f t="shared" si="1"/>
        <v>Vlastiti prihodi</v>
      </c>
      <c r="E17" s="154">
        <v>3227</v>
      </c>
      <c r="F17" s="149" t="str">
        <f t="shared" si="0"/>
        <v>Službena, radna i zaštitna odjeća i obuća</v>
      </c>
      <c r="G17" s="201" t="s">
        <v>909</v>
      </c>
      <c r="H17" s="149" t="str">
        <f t="shared" si="2"/>
        <v>REDOVNA DJELATNOST JAVNIH INSTITUTA (IZ EVIDENCIJSKIH PRIHODA)</v>
      </c>
      <c r="I17" s="198">
        <v>1000</v>
      </c>
      <c r="J17" s="198">
        <v>1000</v>
      </c>
      <c r="K17" s="198">
        <v>1000</v>
      </c>
      <c r="M17" s="144" t="str">
        <f t="shared" si="3"/>
        <v>322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08008</v>
      </c>
      <c r="B18" s="148" t="str">
        <f>IF(C18="","",VLOOKUP('Opći dio'!$C$3,'Opći dio'!$L$6:$U$135,9,FALSE))</f>
        <v>Javni instituti</v>
      </c>
      <c r="C18" s="154">
        <v>31</v>
      </c>
      <c r="D18" s="149" t="str">
        <f t="shared" si="1"/>
        <v>Vlastiti prihodi</v>
      </c>
      <c r="E18" s="154">
        <v>3231</v>
      </c>
      <c r="F18" s="149" t="str">
        <f t="shared" si="0"/>
        <v>Usluge telefona, pošte i prijevoza</v>
      </c>
      <c r="G18" s="201" t="s">
        <v>909</v>
      </c>
      <c r="H18" s="149" t="str">
        <f t="shared" si="2"/>
        <v>REDOVNA DJELATNOST JAVNIH INSTITUTA (IZ EVIDENCIJSKIH PRIHODA)</v>
      </c>
      <c r="I18" s="198">
        <v>33000</v>
      </c>
      <c r="J18" s="198">
        <v>33000</v>
      </c>
      <c r="K18" s="198">
        <v>33000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08008</v>
      </c>
      <c r="B19" s="148" t="str">
        <f>IF(C19="","",VLOOKUP('Opći dio'!$C$3,'Opći dio'!$L$6:$U$135,9,FALSE))</f>
        <v>Javni instituti</v>
      </c>
      <c r="C19" s="154">
        <v>31</v>
      </c>
      <c r="D19" s="149" t="str">
        <f t="shared" si="1"/>
        <v>Vlastiti prihodi</v>
      </c>
      <c r="E19" s="154">
        <v>3232</v>
      </c>
      <c r="F19" s="149" t="str">
        <f t="shared" si="0"/>
        <v>Usluge tekućeg i investicijskog održavanja</v>
      </c>
      <c r="G19" s="201" t="s">
        <v>909</v>
      </c>
      <c r="H19" s="149" t="str">
        <f t="shared" si="2"/>
        <v>REDOVNA DJELATNOST JAVNIH INSTITUTA (IZ EVIDENCIJSKIH PRIHODA)</v>
      </c>
      <c r="I19" s="198">
        <v>105500</v>
      </c>
      <c r="J19" s="198">
        <v>105500</v>
      </c>
      <c r="K19" s="198">
        <v>105500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08008</v>
      </c>
      <c r="B20" s="148" t="str">
        <f>IF(C20="","",VLOOKUP('Opći dio'!$C$3,'Opći dio'!$L$6:$U$135,9,FALSE))</f>
        <v>Javni instituti</v>
      </c>
      <c r="C20" s="154">
        <v>31</v>
      </c>
      <c r="D20" s="149" t="str">
        <f t="shared" si="1"/>
        <v>Vlastiti prihodi</v>
      </c>
      <c r="E20" s="154">
        <v>3233</v>
      </c>
      <c r="F20" s="149" t="str">
        <f t="shared" si="0"/>
        <v>Usluge promidžbe i informiranja</v>
      </c>
      <c r="G20" s="201" t="s">
        <v>909</v>
      </c>
      <c r="H20" s="149" t="str">
        <f t="shared" si="2"/>
        <v>REDOVNA DJELATNOST JAVNIH INSTITUTA (IZ EVIDENCIJSKIH PRIHODA)</v>
      </c>
      <c r="I20" s="198">
        <v>4400</v>
      </c>
      <c r="J20" s="198">
        <v>4400</v>
      </c>
      <c r="K20" s="198">
        <v>4400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08008</v>
      </c>
      <c r="B21" s="148" t="str">
        <f>IF(C21="","",VLOOKUP('Opći dio'!$C$3,'Opći dio'!$L$6:$U$135,9,FALSE))</f>
        <v>Javni instituti</v>
      </c>
      <c r="C21" s="154">
        <v>31</v>
      </c>
      <c r="D21" s="149" t="str">
        <f t="shared" si="1"/>
        <v>Vlastiti prihodi</v>
      </c>
      <c r="E21" s="154">
        <v>3234</v>
      </c>
      <c r="F21" s="149" t="str">
        <f t="shared" si="0"/>
        <v>Komunalne usluge</v>
      </c>
      <c r="G21" s="201" t="s">
        <v>909</v>
      </c>
      <c r="H21" s="149" t="str">
        <f t="shared" si="2"/>
        <v>REDOVNA DJELATNOST JAVNIH INSTITUTA (IZ EVIDENCIJSKIH PRIHODA)</v>
      </c>
      <c r="I21" s="198">
        <v>12800</v>
      </c>
      <c r="J21" s="198">
        <v>12800</v>
      </c>
      <c r="K21" s="198">
        <v>12800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08008</v>
      </c>
      <c r="B22" s="148" t="str">
        <f>IF(C22="","",VLOOKUP('Opći dio'!$C$3,'Opći dio'!$L$6:$U$135,9,FALSE))</f>
        <v>Javni instituti</v>
      </c>
      <c r="C22" s="154">
        <v>31</v>
      </c>
      <c r="D22" s="149" t="str">
        <f t="shared" si="1"/>
        <v>Vlastiti prihodi</v>
      </c>
      <c r="E22" s="154">
        <v>3235</v>
      </c>
      <c r="F22" s="149" t="str">
        <f t="shared" si="0"/>
        <v>Zakupnine i najamnine</v>
      </c>
      <c r="G22" s="201" t="s">
        <v>909</v>
      </c>
      <c r="H22" s="149" t="str">
        <f t="shared" si="2"/>
        <v>REDOVNA DJELATNOST JAVNIH INSTITUTA (IZ EVIDENCIJSKIH PRIHODA)</v>
      </c>
      <c r="I22" s="198">
        <v>68000</v>
      </c>
      <c r="J22" s="198">
        <v>68000</v>
      </c>
      <c r="K22" s="198">
        <v>68000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08008</v>
      </c>
      <c r="B23" s="148" t="str">
        <f>IF(C23="","",VLOOKUP('Opći dio'!$C$3,'Opći dio'!$L$6:$U$135,9,FALSE))</f>
        <v>Javni instituti</v>
      </c>
      <c r="C23" s="154">
        <v>31</v>
      </c>
      <c r="D23" s="149" t="str">
        <f t="shared" si="1"/>
        <v>Vlastiti prihodi</v>
      </c>
      <c r="E23" s="154">
        <v>3237</v>
      </c>
      <c r="F23" s="149" t="str">
        <f t="shared" si="0"/>
        <v>Intelektualne i osobne usluge</v>
      </c>
      <c r="G23" s="201" t="s">
        <v>909</v>
      </c>
      <c r="H23" s="149" t="str">
        <f t="shared" si="2"/>
        <v>REDOVNA DJELATNOST JAVNIH INSTITUTA (IZ EVIDENCIJSKIH PRIHODA)</v>
      </c>
      <c r="I23" s="198">
        <v>2500000</v>
      </c>
      <c r="J23" s="198">
        <v>2000000</v>
      </c>
      <c r="K23" s="198">
        <v>2300000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08008</v>
      </c>
      <c r="B24" s="148" t="str">
        <f>IF(C24="","",VLOOKUP('Opći dio'!$C$3,'Opći dio'!$L$6:$U$135,9,FALSE))</f>
        <v>Javni instituti</v>
      </c>
      <c r="C24" s="154">
        <v>31</v>
      </c>
      <c r="D24" s="149" t="str">
        <f t="shared" si="1"/>
        <v>Vlastiti prihodi</v>
      </c>
      <c r="E24" s="154">
        <v>3239</v>
      </c>
      <c r="F24" s="149" t="str">
        <f t="shared" si="0"/>
        <v>Ostale usluge</v>
      </c>
      <c r="G24" s="201" t="s">
        <v>909</v>
      </c>
      <c r="H24" s="149" t="str">
        <f t="shared" si="2"/>
        <v>REDOVNA DJELATNOST JAVNIH INSTITUTA (IZ EVIDENCIJSKIH PRIHODA)</v>
      </c>
      <c r="I24" s="198">
        <v>31000</v>
      </c>
      <c r="J24" s="198">
        <v>31000</v>
      </c>
      <c r="K24" s="198">
        <v>31000</v>
      </c>
      <c r="M24" s="144" t="str">
        <f t="shared" si="3"/>
        <v>323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08008</v>
      </c>
      <c r="B25" s="148" t="str">
        <f>IF(C25="","",VLOOKUP('Opći dio'!$C$3,'Opći dio'!$L$6:$U$135,9,FALSE))</f>
        <v>Javni instituti</v>
      </c>
      <c r="C25" s="154">
        <v>31</v>
      </c>
      <c r="D25" s="149" t="str">
        <f t="shared" si="1"/>
        <v>Vlastiti prihodi</v>
      </c>
      <c r="E25" s="154">
        <v>3241</v>
      </c>
      <c r="F25" s="149" t="str">
        <f t="shared" si="0"/>
        <v>Naknade troškova osobama izvan radnog odnosa</v>
      </c>
      <c r="G25" s="201" t="s">
        <v>909</v>
      </c>
      <c r="H25" s="149" t="str">
        <f t="shared" si="2"/>
        <v>REDOVNA DJELATNOST JAVNIH INSTITUTA (IZ EVIDENCIJSKIH PRIHODA)</v>
      </c>
      <c r="I25" s="198">
        <v>2800</v>
      </c>
      <c r="J25" s="198">
        <v>2800</v>
      </c>
      <c r="K25" s="198">
        <v>2800</v>
      </c>
      <c r="M25" s="144" t="str">
        <f t="shared" si="3"/>
        <v>324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08008</v>
      </c>
      <c r="B26" s="148" t="str">
        <f>IF(C26="","",VLOOKUP('Opći dio'!$C$3,'Opći dio'!$L$6:$U$135,9,FALSE))</f>
        <v>Javni instituti</v>
      </c>
      <c r="C26" s="154">
        <v>31</v>
      </c>
      <c r="D26" s="149" t="str">
        <f t="shared" si="1"/>
        <v>Vlastiti prihodi</v>
      </c>
      <c r="E26" s="154">
        <v>3292</v>
      </c>
      <c r="F26" s="149" t="str">
        <f t="shared" si="0"/>
        <v>Premije osiguranja</v>
      </c>
      <c r="G26" s="201" t="s">
        <v>909</v>
      </c>
      <c r="H26" s="149" t="str">
        <f t="shared" si="2"/>
        <v>REDOVNA DJELATNOST JAVNIH INSTITUTA (IZ EVIDENCIJSKIH PRIHODA)</v>
      </c>
      <c r="I26" s="198">
        <v>4000</v>
      </c>
      <c r="J26" s="198">
        <v>4000</v>
      </c>
      <c r="K26" s="198">
        <v>4000</v>
      </c>
      <c r="M26" s="144" t="str">
        <f t="shared" si="3"/>
        <v>329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08008</v>
      </c>
      <c r="B27" s="148" t="str">
        <f>IF(C27="","",VLOOKUP('Opći dio'!$C$3,'Opći dio'!$L$6:$U$135,9,FALSE))</f>
        <v>Javni instituti</v>
      </c>
      <c r="C27" s="154">
        <v>31</v>
      </c>
      <c r="D27" s="149" t="str">
        <f t="shared" si="1"/>
        <v>Vlastiti prihodi</v>
      </c>
      <c r="E27" s="154">
        <v>3293</v>
      </c>
      <c r="F27" s="149" t="str">
        <f t="shared" si="0"/>
        <v>Reprezentacija</v>
      </c>
      <c r="G27" s="201" t="s">
        <v>909</v>
      </c>
      <c r="H27" s="149" t="str">
        <f t="shared" si="2"/>
        <v>REDOVNA DJELATNOST JAVNIH INSTITUTA (IZ EVIDENCIJSKIH PRIHODA)</v>
      </c>
      <c r="I27" s="198">
        <v>20000</v>
      </c>
      <c r="J27" s="198">
        <v>20000</v>
      </c>
      <c r="K27" s="198">
        <v>20000</v>
      </c>
      <c r="M27" s="144" t="str">
        <f t="shared" si="3"/>
        <v>329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08008</v>
      </c>
      <c r="B28" s="148" t="str">
        <f>IF(C28="","",VLOOKUP('Opći dio'!$C$3,'Opći dio'!$L$6:$U$135,9,FALSE))</f>
        <v>Javni instituti</v>
      </c>
      <c r="C28" s="154">
        <v>31</v>
      </c>
      <c r="D28" s="149" t="str">
        <f t="shared" si="1"/>
        <v>Vlastiti prihodi</v>
      </c>
      <c r="E28" s="154">
        <v>3294</v>
      </c>
      <c r="F28" s="149" t="str">
        <f t="shared" si="0"/>
        <v>Članarine i norme</v>
      </c>
      <c r="G28" s="201" t="s">
        <v>909</v>
      </c>
      <c r="H28" s="149" t="str">
        <f t="shared" si="2"/>
        <v>REDOVNA DJELATNOST JAVNIH INSTITUTA (IZ EVIDENCIJSKIH PRIHODA)</v>
      </c>
      <c r="I28" s="198">
        <v>20000</v>
      </c>
      <c r="J28" s="198">
        <v>13153</v>
      </c>
      <c r="K28" s="198">
        <v>20000</v>
      </c>
      <c r="M28" s="144" t="str">
        <f t="shared" si="3"/>
        <v>329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08008</v>
      </c>
      <c r="B29" s="148" t="str">
        <f>IF(C29="","",VLOOKUP('Opći dio'!$C$3,'Opći dio'!$L$6:$U$135,9,FALSE))</f>
        <v>Javni instituti</v>
      </c>
      <c r="C29" s="154">
        <v>31</v>
      </c>
      <c r="D29" s="149" t="str">
        <f t="shared" si="1"/>
        <v>Vlastiti prihodi</v>
      </c>
      <c r="E29" s="154">
        <v>3295</v>
      </c>
      <c r="F29" s="149" t="str">
        <f t="shared" si="0"/>
        <v>Pristojbe i naknade</v>
      </c>
      <c r="G29" s="201" t="s">
        <v>909</v>
      </c>
      <c r="H29" s="149" t="str">
        <f t="shared" si="2"/>
        <v>REDOVNA DJELATNOST JAVNIH INSTITUTA (IZ EVIDENCIJSKIH PRIHODA)</v>
      </c>
      <c r="I29" s="198">
        <v>16000</v>
      </c>
      <c r="J29" s="198">
        <v>16000</v>
      </c>
      <c r="K29" s="198">
        <v>16000</v>
      </c>
      <c r="M29" s="144" t="str">
        <f t="shared" si="3"/>
        <v>329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08008</v>
      </c>
      <c r="B30" s="148" t="str">
        <f>IF(C30="","",VLOOKUP('Opći dio'!$C$3,'Opći dio'!$L$6:$U$135,9,FALSE))</f>
        <v>Javni instituti</v>
      </c>
      <c r="C30" s="154">
        <v>31</v>
      </c>
      <c r="D30" s="149" t="str">
        <f t="shared" si="1"/>
        <v>Vlastiti prihodi</v>
      </c>
      <c r="E30" s="154">
        <v>3299</v>
      </c>
      <c r="F30" s="149" t="str">
        <f t="shared" si="0"/>
        <v>Ostali nespomenuti rashodi poslovanja</v>
      </c>
      <c r="G30" s="201" t="s">
        <v>909</v>
      </c>
      <c r="H30" s="149" t="str">
        <f t="shared" si="2"/>
        <v>REDOVNA DJELATNOST JAVNIH INSTITUTA (IZ EVIDENCIJSKIH PRIHODA)</v>
      </c>
      <c r="I30" s="198">
        <v>20000</v>
      </c>
      <c r="J30" s="198">
        <v>20000</v>
      </c>
      <c r="K30" s="198">
        <v>20000</v>
      </c>
      <c r="M30" s="144" t="str">
        <f t="shared" si="3"/>
        <v>329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08008</v>
      </c>
      <c r="B31" s="148" t="str">
        <f>IF(C31="","",VLOOKUP('Opći dio'!$C$3,'Opći dio'!$L$6:$U$135,9,FALSE))</f>
        <v>Javni instituti</v>
      </c>
      <c r="C31" s="154">
        <v>31</v>
      </c>
      <c r="D31" s="149" t="str">
        <f t="shared" si="1"/>
        <v>Vlastiti prihodi</v>
      </c>
      <c r="E31" s="154">
        <v>3431</v>
      </c>
      <c r="F31" s="149" t="str">
        <f t="shared" si="0"/>
        <v>Bankarske usluge i usluge platnog prometa</v>
      </c>
      <c r="G31" s="201" t="s">
        <v>909</v>
      </c>
      <c r="H31" s="149" t="str">
        <f t="shared" si="2"/>
        <v>REDOVNA DJELATNOST JAVNIH INSTITUTA (IZ EVIDENCIJSKIH PRIHODA)</v>
      </c>
      <c r="I31" s="198">
        <v>10000</v>
      </c>
      <c r="J31" s="198">
        <v>10000</v>
      </c>
      <c r="K31" s="198">
        <v>10000</v>
      </c>
      <c r="M31" s="144" t="str">
        <f t="shared" si="3"/>
        <v>343</v>
      </c>
      <c r="N31" s="144" t="str">
        <f t="shared" si="4"/>
        <v>34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08008</v>
      </c>
      <c r="B32" s="148" t="str">
        <f>IF(C32="","",VLOOKUP('Opći dio'!$C$3,'Opći dio'!$L$6:$U$135,9,FALSE))</f>
        <v>Javni instituti</v>
      </c>
      <c r="C32" s="154">
        <v>31</v>
      </c>
      <c r="D32" s="149" t="str">
        <f t="shared" si="1"/>
        <v>Vlastiti prihodi</v>
      </c>
      <c r="E32" s="154">
        <v>3432</v>
      </c>
      <c r="F32" s="149" t="str">
        <f t="shared" si="0"/>
        <v>Negativne tečajne razlike i razlike zbog primjene valutne kl</v>
      </c>
      <c r="G32" s="201" t="s">
        <v>909</v>
      </c>
      <c r="H32" s="149" t="str">
        <f t="shared" si="2"/>
        <v>REDOVNA DJELATNOST JAVNIH INSTITUTA (IZ EVIDENCIJSKIH PRIHODA)</v>
      </c>
      <c r="I32" s="198">
        <v>2300</v>
      </c>
      <c r="J32" s="198">
        <v>2300</v>
      </c>
      <c r="K32" s="198">
        <v>2300</v>
      </c>
      <c r="M32" s="144" t="str">
        <f t="shared" si="3"/>
        <v>343</v>
      </c>
      <c r="N32" s="144" t="str">
        <f t="shared" si="4"/>
        <v>34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08008</v>
      </c>
      <c r="B33" s="148" t="str">
        <f>IF(C33="","",VLOOKUP('Opći dio'!$C$3,'Opći dio'!$L$6:$U$135,9,FALSE))</f>
        <v>Javni instituti</v>
      </c>
      <c r="C33" s="154">
        <v>31</v>
      </c>
      <c r="D33" s="149" t="str">
        <f t="shared" si="1"/>
        <v>Vlastiti prihodi</v>
      </c>
      <c r="E33" s="154">
        <v>3434</v>
      </c>
      <c r="F33" s="149" t="str">
        <f t="shared" si="0"/>
        <v>Ostali nespomenuti financijski rashodi</v>
      </c>
      <c r="G33" s="201" t="s">
        <v>909</v>
      </c>
      <c r="H33" s="149" t="str">
        <f t="shared" si="2"/>
        <v>REDOVNA DJELATNOST JAVNIH INSTITUTA (IZ EVIDENCIJSKIH PRIHODA)</v>
      </c>
      <c r="I33" s="198">
        <v>740</v>
      </c>
      <c r="J33" s="198">
        <v>740</v>
      </c>
      <c r="K33" s="198">
        <v>740</v>
      </c>
      <c r="M33" s="144" t="str">
        <f t="shared" si="3"/>
        <v>343</v>
      </c>
      <c r="N33" s="144" t="str">
        <f t="shared" si="4"/>
        <v>34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08008</v>
      </c>
      <c r="B34" s="148" t="str">
        <f>IF(C34="","",VLOOKUP('Opći dio'!$C$3,'Opći dio'!$L$6:$U$135,9,FALSE))</f>
        <v>Javni instituti</v>
      </c>
      <c r="C34" s="154">
        <v>31</v>
      </c>
      <c r="D34" s="149" t="str">
        <f t="shared" si="1"/>
        <v>Vlastiti prihodi</v>
      </c>
      <c r="E34" s="154">
        <v>3721</v>
      </c>
      <c r="F34" s="149" t="str">
        <f t="shared" si="0"/>
        <v>Naknade građanima i kućanstvima u novcu</v>
      </c>
      <c r="G34" s="201" t="s">
        <v>909</v>
      </c>
      <c r="H34" s="149" t="str">
        <f t="shared" si="2"/>
        <v>REDOVNA DJELATNOST JAVNIH INSTITUTA (IZ EVIDENCIJSKIH PRIHODA)</v>
      </c>
      <c r="I34" s="198">
        <v>9500</v>
      </c>
      <c r="J34" s="198">
        <v>9500</v>
      </c>
      <c r="K34" s="198">
        <v>9500</v>
      </c>
      <c r="M34" s="144" t="str">
        <f t="shared" si="3"/>
        <v>372</v>
      </c>
      <c r="N34" s="144" t="str">
        <f t="shared" si="4"/>
        <v>37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08008</v>
      </c>
      <c r="B35" s="148" t="str">
        <f>IF(C35="","",VLOOKUP('Opći dio'!$C$3,'Opći dio'!$L$6:$U$135,9,FALSE))</f>
        <v>Javni instituti</v>
      </c>
      <c r="C35" s="154">
        <v>31</v>
      </c>
      <c r="D35" s="149" t="str">
        <f t="shared" si="1"/>
        <v>Vlastiti prihodi</v>
      </c>
      <c r="E35" s="154">
        <v>4221</v>
      </c>
      <c r="F35" s="149" t="str">
        <f t="shared" si="0"/>
        <v>Uredska oprema i namještaj</v>
      </c>
      <c r="G35" s="201" t="s">
        <v>909</v>
      </c>
      <c r="H35" s="149" t="str">
        <f t="shared" si="2"/>
        <v>REDOVNA DJELATNOST JAVNIH INSTITUTA (IZ EVIDENCIJSKIH PRIHODA)</v>
      </c>
      <c r="I35" s="198">
        <v>50000</v>
      </c>
      <c r="J35" s="198">
        <v>20000</v>
      </c>
      <c r="K35" s="198">
        <v>50000</v>
      </c>
      <c r="M35" s="144" t="str">
        <f t="shared" si="3"/>
        <v>422</v>
      </c>
      <c r="N35" s="144" t="str">
        <f t="shared" si="4"/>
        <v>42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08008</v>
      </c>
      <c r="B36" s="148" t="str">
        <f>IF(C36="","",VLOOKUP('Opći dio'!$C$3,'Opći dio'!$L$6:$U$135,9,FALSE))</f>
        <v>Javni instituti</v>
      </c>
      <c r="C36" s="154">
        <v>31</v>
      </c>
      <c r="D36" s="149" t="str">
        <f t="shared" si="1"/>
        <v>Vlastiti prihodi</v>
      </c>
      <c r="E36" s="154">
        <v>4241</v>
      </c>
      <c r="F36" s="149" t="str">
        <f t="shared" si="0"/>
        <v>Knjige</v>
      </c>
      <c r="G36" s="201" t="s">
        <v>909</v>
      </c>
      <c r="H36" s="149" t="str">
        <f t="shared" si="2"/>
        <v>REDOVNA DJELATNOST JAVNIH INSTITUTA (IZ EVIDENCIJSKIH PRIHODA)</v>
      </c>
      <c r="I36" s="198">
        <v>0</v>
      </c>
      <c r="J36" s="198">
        <v>3500</v>
      </c>
      <c r="K36" s="198">
        <v>0</v>
      </c>
      <c r="M36" s="144" t="str">
        <f t="shared" si="3"/>
        <v>424</v>
      </c>
      <c r="N36" s="144" t="str">
        <f t="shared" si="4"/>
        <v>42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08008</v>
      </c>
      <c r="B37" s="148" t="str">
        <f>IF(C37="","",VLOOKUP('Opći dio'!$C$3,'Opći dio'!$L$6:$U$135,9,FALSE))</f>
        <v>Javni instituti</v>
      </c>
      <c r="C37" s="154">
        <v>31</v>
      </c>
      <c r="D37" s="149" t="str">
        <f t="shared" si="1"/>
        <v>Vlastiti prihodi</v>
      </c>
      <c r="E37" s="154">
        <v>4262</v>
      </c>
      <c r="F37" s="149" t="str">
        <f t="shared" si="0"/>
        <v>Ulaganja u računalne programe</v>
      </c>
      <c r="G37" s="201" t="s">
        <v>909</v>
      </c>
      <c r="H37" s="149" t="str">
        <f t="shared" si="2"/>
        <v>REDOVNA DJELATNOST JAVNIH INSTITUTA (IZ EVIDENCIJSKIH PRIHODA)</v>
      </c>
      <c r="I37" s="198">
        <v>10000</v>
      </c>
      <c r="J37" s="198"/>
      <c r="K37" s="198">
        <v>10000</v>
      </c>
      <c r="M37" s="144" t="str">
        <f t="shared" si="3"/>
        <v>426</v>
      </c>
      <c r="N37" s="144" t="str">
        <f t="shared" si="4"/>
        <v>42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08008</v>
      </c>
      <c r="B38" s="148" t="str">
        <f>IF(C38="","",VLOOKUP('Opći dio'!$C$3,'Opći dio'!$L$6:$U$135,9,FALSE))</f>
        <v>Javni instituti</v>
      </c>
      <c r="C38" s="154">
        <v>11</v>
      </c>
      <c r="D38" s="149" t="str">
        <f t="shared" si="1"/>
        <v>Opći prihodi i primici</v>
      </c>
      <c r="E38" s="154">
        <v>3211</v>
      </c>
      <c r="F38" s="149" t="str">
        <f t="shared" si="0"/>
        <v>Službena putovanja</v>
      </c>
      <c r="G38" s="201" t="s">
        <v>911</v>
      </c>
      <c r="H38" s="149" t="str">
        <f t="shared" si="2"/>
        <v>PROGRAMSKO FINANCIRANJE JAVNIH ZNANSTVENIH INSTITUTA</v>
      </c>
      <c r="I38" s="198">
        <v>105000</v>
      </c>
      <c r="J38" s="198">
        <v>105000</v>
      </c>
      <c r="K38" s="198">
        <v>125000</v>
      </c>
      <c r="M38" s="144" t="str">
        <f t="shared" si="3"/>
        <v>321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08008</v>
      </c>
      <c r="B39" s="148" t="str">
        <f>IF(C39="","",VLOOKUP('Opći dio'!$C$3,'Opći dio'!$L$6:$U$135,9,FALSE))</f>
        <v>Javni instituti</v>
      </c>
      <c r="C39" s="154">
        <v>11</v>
      </c>
      <c r="D39" s="149" t="str">
        <f t="shared" si="1"/>
        <v>Opći prihodi i primici</v>
      </c>
      <c r="E39" s="154">
        <v>3213</v>
      </c>
      <c r="F39" s="149" t="str">
        <f t="shared" si="0"/>
        <v>Stručno usavršavanje zaposlenika</v>
      </c>
      <c r="G39" s="201" t="s">
        <v>911</v>
      </c>
      <c r="H39" s="149" t="str">
        <f t="shared" si="2"/>
        <v>PROGRAMSKO FINANCIRANJE JAVNIH ZNANSTVENIH INSTITUTA</v>
      </c>
      <c r="I39" s="198">
        <v>67500</v>
      </c>
      <c r="J39" s="198">
        <v>67500</v>
      </c>
      <c r="K39" s="198">
        <v>77000</v>
      </c>
      <c r="M39" s="144" t="str">
        <f t="shared" si="3"/>
        <v>321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08008</v>
      </c>
      <c r="B40" s="148" t="str">
        <f>IF(C40="","",VLOOKUP('Opći dio'!$C$3,'Opći dio'!$L$6:$U$135,9,FALSE))</f>
        <v>Javni instituti</v>
      </c>
      <c r="C40" s="154">
        <v>11</v>
      </c>
      <c r="D40" s="149" t="str">
        <f t="shared" si="1"/>
        <v>Opći prihodi i primici</v>
      </c>
      <c r="E40" s="154">
        <v>3221</v>
      </c>
      <c r="F40" s="149" t="str">
        <f t="shared" si="0"/>
        <v>Uredski materijal i ostali materijalni rashodi</v>
      </c>
      <c r="G40" s="201" t="s">
        <v>911</v>
      </c>
      <c r="H40" s="149" t="str">
        <f t="shared" si="2"/>
        <v>PROGRAMSKO FINANCIRANJE JAVNIH ZNANSTVENIH INSTITUTA</v>
      </c>
      <c r="I40" s="198">
        <v>71000</v>
      </c>
      <c r="J40" s="198">
        <v>71000</v>
      </c>
      <c r="K40" s="198">
        <v>81000</v>
      </c>
      <c r="M40" s="144" t="str">
        <f t="shared" si="3"/>
        <v>322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08008</v>
      </c>
      <c r="B41" s="148" t="str">
        <f>IF(C41="","",VLOOKUP('Opći dio'!$C$3,'Opći dio'!$L$6:$U$135,9,FALSE))</f>
        <v>Javni instituti</v>
      </c>
      <c r="C41" s="154">
        <v>11</v>
      </c>
      <c r="D41" s="149" t="str">
        <f t="shared" si="1"/>
        <v>Opći prihodi i primici</v>
      </c>
      <c r="E41" s="154">
        <v>3223</v>
      </c>
      <c r="F41" s="149" t="str">
        <f t="shared" si="0"/>
        <v>Energija</v>
      </c>
      <c r="G41" s="201" t="s">
        <v>911</v>
      </c>
      <c r="H41" s="149" t="str">
        <f t="shared" si="2"/>
        <v>PROGRAMSKO FINANCIRANJE JAVNIH ZNANSTVENIH INSTITUTA</v>
      </c>
      <c r="I41" s="198">
        <v>59000</v>
      </c>
      <c r="J41" s="198">
        <v>59000</v>
      </c>
      <c r="K41" s="198">
        <v>65000</v>
      </c>
      <c r="M41" s="144" t="str">
        <f t="shared" si="3"/>
        <v>322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08008</v>
      </c>
      <c r="B42" s="148" t="str">
        <f>IF(C42="","",VLOOKUP('Opći dio'!$C$3,'Opći dio'!$L$6:$U$135,9,FALSE))</f>
        <v>Javni instituti</v>
      </c>
      <c r="C42" s="154">
        <v>11</v>
      </c>
      <c r="D42" s="149" t="str">
        <f t="shared" si="1"/>
        <v>Opći prihodi i primici</v>
      </c>
      <c r="E42" s="154">
        <v>3225</v>
      </c>
      <c r="F42" s="149" t="str">
        <f t="shared" si="0"/>
        <v>Sitni inventar i auto gume</v>
      </c>
      <c r="G42" s="201" t="s">
        <v>911</v>
      </c>
      <c r="H42" s="149" t="str">
        <f t="shared" si="2"/>
        <v>PROGRAMSKO FINANCIRANJE JAVNIH ZNANSTVENIH INSTITUTA</v>
      </c>
      <c r="I42" s="198">
        <v>1000</v>
      </c>
      <c r="J42" s="198">
        <v>1000</v>
      </c>
      <c r="K42" s="198">
        <v>1000</v>
      </c>
      <c r="M42" s="144" t="str">
        <f t="shared" si="3"/>
        <v>322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08008</v>
      </c>
      <c r="B43" s="148" t="str">
        <f>IF(C43="","",VLOOKUP('Opći dio'!$C$3,'Opći dio'!$L$6:$U$135,9,FALSE))</f>
        <v>Javni instituti</v>
      </c>
      <c r="C43" s="154">
        <v>11</v>
      </c>
      <c r="D43" s="149" t="str">
        <f t="shared" si="1"/>
        <v>Opći prihodi i primici</v>
      </c>
      <c r="E43" s="154">
        <v>3231</v>
      </c>
      <c r="F43" s="149" t="str">
        <f t="shared" si="0"/>
        <v>Usluge telefona, pošte i prijevoza</v>
      </c>
      <c r="G43" s="201" t="s">
        <v>911</v>
      </c>
      <c r="H43" s="149" t="str">
        <f t="shared" si="2"/>
        <v>PROGRAMSKO FINANCIRANJE JAVNIH ZNANSTVENIH INSTITUTA</v>
      </c>
      <c r="I43" s="198">
        <v>38000</v>
      </c>
      <c r="J43" s="198">
        <v>38000</v>
      </c>
      <c r="K43" s="198">
        <v>48000</v>
      </c>
      <c r="M43" s="144" t="str">
        <f t="shared" si="3"/>
        <v>323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08008</v>
      </c>
      <c r="B44" s="148" t="str">
        <f>IF(C44="","",VLOOKUP('Opći dio'!$C$3,'Opći dio'!$L$6:$U$135,9,FALSE))</f>
        <v>Javni instituti</v>
      </c>
      <c r="C44" s="154">
        <v>11</v>
      </c>
      <c r="D44" s="149" t="str">
        <f t="shared" si="1"/>
        <v>Opći prihodi i primici</v>
      </c>
      <c r="E44" s="154">
        <v>3232</v>
      </c>
      <c r="F44" s="149" t="str">
        <f t="shared" si="0"/>
        <v>Usluge tekućeg i investicijskog održavanja</v>
      </c>
      <c r="G44" s="201" t="s">
        <v>911</v>
      </c>
      <c r="H44" s="149" t="str">
        <f t="shared" si="2"/>
        <v>PROGRAMSKO FINANCIRANJE JAVNIH ZNANSTVENIH INSTITUTA</v>
      </c>
      <c r="I44" s="198">
        <v>65000</v>
      </c>
      <c r="J44" s="198">
        <v>105000</v>
      </c>
      <c r="K44" s="198">
        <v>105000</v>
      </c>
      <c r="M44" s="144" t="str">
        <f t="shared" si="3"/>
        <v>323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08008</v>
      </c>
      <c r="B45" s="148" t="str">
        <f>IF(C45="","",VLOOKUP('Opći dio'!$C$3,'Opći dio'!$L$6:$U$135,9,FALSE))</f>
        <v>Javni instituti</v>
      </c>
      <c r="C45" s="154">
        <v>11</v>
      </c>
      <c r="D45" s="149" t="str">
        <f t="shared" si="1"/>
        <v>Opći prihodi i primici</v>
      </c>
      <c r="E45" s="154">
        <v>3233</v>
      </c>
      <c r="F45" s="149" t="str">
        <f t="shared" si="0"/>
        <v>Usluge promidžbe i informiranja</v>
      </c>
      <c r="G45" s="201" t="s">
        <v>911</v>
      </c>
      <c r="H45" s="149" t="str">
        <f t="shared" si="2"/>
        <v>PROGRAMSKO FINANCIRANJE JAVNIH ZNANSTVENIH INSTITUTA</v>
      </c>
      <c r="I45" s="198">
        <v>10000</v>
      </c>
      <c r="J45" s="198">
        <v>10000</v>
      </c>
      <c r="K45" s="198">
        <v>10000</v>
      </c>
      <c r="M45" s="144" t="str">
        <f t="shared" si="3"/>
        <v>323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08008</v>
      </c>
      <c r="B46" s="148" t="str">
        <f>IF(C46="","",VLOOKUP('Opći dio'!$C$3,'Opći dio'!$L$6:$U$135,9,FALSE))</f>
        <v>Javni instituti</v>
      </c>
      <c r="C46" s="154">
        <v>11</v>
      </c>
      <c r="D46" s="149" t="str">
        <f t="shared" si="1"/>
        <v>Opći prihodi i primici</v>
      </c>
      <c r="E46" s="154">
        <v>3234</v>
      </c>
      <c r="F46" s="149" t="str">
        <f t="shared" si="0"/>
        <v>Komunalne usluge</v>
      </c>
      <c r="G46" s="201" t="s">
        <v>911</v>
      </c>
      <c r="H46" s="149" t="str">
        <f t="shared" si="2"/>
        <v>PROGRAMSKO FINANCIRANJE JAVNIH ZNANSTVENIH INSTITUTA</v>
      </c>
      <c r="I46" s="198">
        <v>15900</v>
      </c>
      <c r="J46" s="198">
        <v>15900</v>
      </c>
      <c r="K46" s="198">
        <v>25000</v>
      </c>
      <c r="M46" s="144" t="str">
        <f t="shared" si="3"/>
        <v>323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08008</v>
      </c>
      <c r="B47" s="148" t="str">
        <f>IF(C47="","",VLOOKUP('Opći dio'!$C$3,'Opći dio'!$L$6:$U$135,9,FALSE))</f>
        <v>Javni instituti</v>
      </c>
      <c r="C47" s="154">
        <v>11</v>
      </c>
      <c r="D47" s="149" t="str">
        <f t="shared" si="1"/>
        <v>Opći prihodi i primici</v>
      </c>
      <c r="E47" s="154">
        <v>3235</v>
      </c>
      <c r="F47" s="149" t="str">
        <f t="shared" si="0"/>
        <v>Zakupnine i najamnine</v>
      </c>
      <c r="G47" s="201" t="s">
        <v>911</v>
      </c>
      <c r="H47" s="149" t="str">
        <f t="shared" si="2"/>
        <v>PROGRAMSKO FINANCIRANJE JAVNIH ZNANSTVENIH INSTITUTA</v>
      </c>
      <c r="I47" s="198">
        <v>10000</v>
      </c>
      <c r="J47" s="198">
        <v>10000</v>
      </c>
      <c r="K47" s="198">
        <v>10000</v>
      </c>
      <c r="M47" s="144" t="str">
        <f t="shared" si="3"/>
        <v>323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08008</v>
      </c>
      <c r="B48" s="148" t="str">
        <f>IF(C48="","",VLOOKUP('Opći dio'!$C$3,'Opći dio'!$L$6:$U$135,9,FALSE))</f>
        <v>Javni instituti</v>
      </c>
      <c r="C48" s="154">
        <v>11</v>
      </c>
      <c r="D48" s="149" t="str">
        <f t="shared" si="1"/>
        <v>Opći prihodi i primici</v>
      </c>
      <c r="E48" s="154">
        <v>3237</v>
      </c>
      <c r="F48" s="149" t="str">
        <f t="shared" si="0"/>
        <v>Intelektualne i osobne usluge</v>
      </c>
      <c r="G48" s="201" t="s">
        <v>911</v>
      </c>
      <c r="H48" s="149" t="str">
        <f t="shared" si="2"/>
        <v>PROGRAMSKO FINANCIRANJE JAVNIH ZNANSTVENIH INSTITUTA</v>
      </c>
      <c r="I48" s="198">
        <v>69587</v>
      </c>
      <c r="J48" s="198">
        <v>101000</v>
      </c>
      <c r="K48" s="198">
        <v>112726</v>
      </c>
      <c r="M48" s="144" t="str">
        <f t="shared" si="3"/>
        <v>323</v>
      </c>
      <c r="N48" s="144" t="str">
        <f t="shared" si="4"/>
        <v>32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08008</v>
      </c>
      <c r="B49" s="148" t="str">
        <f>IF(C49="","",VLOOKUP('Opći dio'!$C$3,'Opći dio'!$L$6:$U$135,9,FALSE))</f>
        <v>Javni instituti</v>
      </c>
      <c r="C49" s="154">
        <v>11</v>
      </c>
      <c r="D49" s="149" t="str">
        <f t="shared" si="1"/>
        <v>Opći prihodi i primici</v>
      </c>
      <c r="E49" s="154">
        <v>3238</v>
      </c>
      <c r="F49" s="149" t="str">
        <f t="shared" si="0"/>
        <v>Računalne usluge</v>
      </c>
      <c r="G49" s="201" t="s">
        <v>911</v>
      </c>
      <c r="H49" s="149" t="str">
        <f t="shared" si="2"/>
        <v>PROGRAMSKO FINANCIRANJE JAVNIH ZNANSTVENIH INSTITUTA</v>
      </c>
      <c r="I49" s="198">
        <v>15000</v>
      </c>
      <c r="J49" s="198">
        <v>15000</v>
      </c>
      <c r="K49" s="198">
        <v>15000</v>
      </c>
      <c r="M49" s="144" t="str">
        <f t="shared" si="3"/>
        <v>323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08008</v>
      </c>
      <c r="B50" s="148" t="str">
        <f>IF(C50="","",VLOOKUP('Opći dio'!$C$3,'Opći dio'!$L$6:$U$135,9,FALSE))</f>
        <v>Javni instituti</v>
      </c>
      <c r="C50" s="154">
        <v>11</v>
      </c>
      <c r="D50" s="149" t="str">
        <f t="shared" si="1"/>
        <v>Opći prihodi i primici</v>
      </c>
      <c r="E50" s="154">
        <v>3239</v>
      </c>
      <c r="F50" s="149" t="str">
        <f t="shared" si="0"/>
        <v>Ostale usluge</v>
      </c>
      <c r="G50" s="201" t="s">
        <v>911</v>
      </c>
      <c r="H50" s="149" t="str">
        <f t="shared" si="2"/>
        <v>PROGRAMSKO FINANCIRANJE JAVNIH ZNANSTVENIH INSTITUTA</v>
      </c>
      <c r="I50" s="198">
        <v>42300</v>
      </c>
      <c r="J50" s="198">
        <v>69787</v>
      </c>
      <c r="K50" s="198">
        <v>65000</v>
      </c>
      <c r="M50" s="144" t="str">
        <f t="shared" si="3"/>
        <v>323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08008</v>
      </c>
      <c r="B51" s="148" t="str">
        <f>IF(C51="","",VLOOKUP('Opći dio'!$C$3,'Opći dio'!$L$6:$U$135,9,FALSE))</f>
        <v>Javni instituti</v>
      </c>
      <c r="C51" s="154">
        <v>11</v>
      </c>
      <c r="D51" s="149" t="str">
        <f t="shared" si="1"/>
        <v>Opći prihodi i primici</v>
      </c>
      <c r="E51" s="154">
        <v>3241</v>
      </c>
      <c r="F51" s="149" t="str">
        <f t="shared" si="0"/>
        <v>Naknade troškova osobama izvan radnog odnosa</v>
      </c>
      <c r="G51" s="201" t="s">
        <v>911</v>
      </c>
      <c r="H51" s="149" t="str">
        <f t="shared" si="2"/>
        <v>PROGRAMSKO FINANCIRANJE JAVNIH ZNANSTVENIH INSTITUTA</v>
      </c>
      <c r="I51" s="198">
        <v>8000</v>
      </c>
      <c r="J51" s="198">
        <v>8000</v>
      </c>
      <c r="K51" s="198">
        <v>8000</v>
      </c>
      <c r="M51" s="144" t="str">
        <f t="shared" si="3"/>
        <v>324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08008</v>
      </c>
      <c r="B52" s="148" t="str">
        <f>IF(C52="","",VLOOKUP('Opći dio'!$C$3,'Opći dio'!$L$6:$U$135,9,FALSE))</f>
        <v>Javni instituti</v>
      </c>
      <c r="C52" s="154">
        <v>11</v>
      </c>
      <c r="D52" s="149" t="str">
        <f t="shared" si="1"/>
        <v>Opći prihodi i primici</v>
      </c>
      <c r="E52" s="154">
        <v>3291</v>
      </c>
      <c r="F52" s="149" t="str">
        <f t="shared" si="0"/>
        <v>Naknade za rad predstavničkih i izvršnih tijela, povjerensta</v>
      </c>
      <c r="G52" s="201" t="s">
        <v>911</v>
      </c>
      <c r="H52" s="149" t="str">
        <f t="shared" si="2"/>
        <v>PROGRAMSKO FINANCIRANJE JAVNIH ZNANSTVENIH INSTITUTA</v>
      </c>
      <c r="I52" s="198">
        <v>35200</v>
      </c>
      <c r="J52" s="198">
        <v>35200</v>
      </c>
      <c r="K52" s="198">
        <v>35200</v>
      </c>
      <c r="M52" s="144" t="str">
        <f t="shared" si="3"/>
        <v>329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08008</v>
      </c>
      <c r="B53" s="148" t="str">
        <f>IF(C53="","",VLOOKUP('Opći dio'!$C$3,'Opći dio'!$L$6:$U$135,9,FALSE))</f>
        <v>Javni instituti</v>
      </c>
      <c r="C53" s="154">
        <v>11</v>
      </c>
      <c r="D53" s="149" t="str">
        <f t="shared" si="1"/>
        <v>Opći prihodi i primici</v>
      </c>
      <c r="E53" s="154">
        <v>3292</v>
      </c>
      <c r="F53" s="149" t="str">
        <f t="shared" si="0"/>
        <v>Premije osiguranja</v>
      </c>
      <c r="G53" s="201" t="s">
        <v>911</v>
      </c>
      <c r="H53" s="149" t="str">
        <f t="shared" si="2"/>
        <v>PROGRAMSKO FINANCIRANJE JAVNIH ZNANSTVENIH INSTITUTA</v>
      </c>
      <c r="I53" s="198">
        <v>6700</v>
      </c>
      <c r="J53" s="198">
        <v>6700</v>
      </c>
      <c r="K53" s="198">
        <v>6700</v>
      </c>
      <c r="M53" s="144" t="str">
        <f t="shared" si="3"/>
        <v>329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08008</v>
      </c>
      <c r="B54" s="148" t="str">
        <f>IF(C54="","",VLOOKUP('Opći dio'!$C$3,'Opći dio'!$L$6:$U$135,9,FALSE))</f>
        <v>Javni instituti</v>
      </c>
      <c r="C54" s="154">
        <v>11</v>
      </c>
      <c r="D54" s="149" t="str">
        <f t="shared" si="1"/>
        <v>Opći prihodi i primici</v>
      </c>
      <c r="E54" s="154">
        <v>3293</v>
      </c>
      <c r="F54" s="149" t="str">
        <f t="shared" si="0"/>
        <v>Reprezentacija</v>
      </c>
      <c r="G54" s="201" t="s">
        <v>911</v>
      </c>
      <c r="H54" s="149" t="str">
        <f t="shared" si="2"/>
        <v>PROGRAMSKO FINANCIRANJE JAVNIH ZNANSTVENIH INSTITUTA</v>
      </c>
      <c r="I54" s="198">
        <v>3500</v>
      </c>
      <c r="J54" s="198">
        <v>3500</v>
      </c>
      <c r="K54" s="198">
        <v>3500</v>
      </c>
      <c r="M54" s="144" t="str">
        <f t="shared" si="3"/>
        <v>329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08008</v>
      </c>
      <c r="B55" s="148" t="str">
        <f>IF(C55="","",VLOOKUP('Opći dio'!$C$3,'Opći dio'!$L$6:$U$135,9,FALSE))</f>
        <v>Javni instituti</v>
      </c>
      <c r="C55" s="154">
        <v>11</v>
      </c>
      <c r="D55" s="149" t="str">
        <f t="shared" si="1"/>
        <v>Opći prihodi i primici</v>
      </c>
      <c r="E55" s="154">
        <v>3431</v>
      </c>
      <c r="F55" s="149" t="str">
        <f t="shared" si="0"/>
        <v>Bankarske usluge i usluge platnog prometa</v>
      </c>
      <c r="G55" s="201" t="s">
        <v>911</v>
      </c>
      <c r="H55" s="149" t="str">
        <f t="shared" si="2"/>
        <v>PROGRAMSKO FINANCIRANJE JAVNIH ZNANSTVENIH INSTITUTA</v>
      </c>
      <c r="I55" s="198">
        <v>3303</v>
      </c>
      <c r="J55" s="198">
        <v>3303</v>
      </c>
      <c r="K55" s="198">
        <v>3303</v>
      </c>
      <c r="M55" s="144" t="str">
        <f t="shared" si="3"/>
        <v>343</v>
      </c>
      <c r="N55" s="144" t="str">
        <f t="shared" si="4"/>
        <v>34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08008</v>
      </c>
      <c r="B56" s="148" t="str">
        <f>IF(C56="","",VLOOKUP('Opći dio'!$C$3,'Opći dio'!$L$6:$U$135,9,FALSE))</f>
        <v>Javni instituti</v>
      </c>
      <c r="C56" s="154">
        <v>11</v>
      </c>
      <c r="D56" s="149" t="str">
        <f t="shared" si="1"/>
        <v>Opći prihodi i primici</v>
      </c>
      <c r="E56" s="154">
        <v>4221</v>
      </c>
      <c r="F56" s="149" t="str">
        <f t="shared" si="0"/>
        <v>Uredska oprema i namještaj</v>
      </c>
      <c r="G56" s="201" t="s">
        <v>911</v>
      </c>
      <c r="H56" s="149" t="str">
        <f t="shared" si="2"/>
        <v>PROGRAMSKO FINANCIRANJE JAVNIH ZNANSTVENIH INSTITUTA</v>
      </c>
      <c r="I56" s="198">
        <v>30000</v>
      </c>
      <c r="J56" s="198">
        <v>40000</v>
      </c>
      <c r="K56" s="198">
        <v>30000</v>
      </c>
      <c r="M56" s="144" t="str">
        <f t="shared" si="3"/>
        <v>422</v>
      </c>
      <c r="N56" s="144" t="str">
        <f t="shared" si="4"/>
        <v>42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08008</v>
      </c>
      <c r="B57" s="148" t="str">
        <f>IF(C57="","",VLOOKUP('Opći dio'!$C$3,'Opći dio'!$L$6:$U$135,9,FALSE))</f>
        <v>Javni instituti</v>
      </c>
      <c r="C57" s="154">
        <v>11</v>
      </c>
      <c r="D57" s="149" t="str">
        <f t="shared" si="1"/>
        <v>Opći prihodi i primici</v>
      </c>
      <c r="E57" s="154">
        <v>4223</v>
      </c>
      <c r="F57" s="149" t="str">
        <f t="shared" si="0"/>
        <v>Oprema za održavanje i zaštitu</v>
      </c>
      <c r="G57" s="201" t="s">
        <v>911</v>
      </c>
      <c r="H57" s="149" t="str">
        <f t="shared" si="2"/>
        <v>PROGRAMSKO FINANCIRANJE JAVNIH ZNANSTVENIH INSTITUTA</v>
      </c>
      <c r="I57" s="198">
        <v>100000</v>
      </c>
      <c r="J57" s="198">
        <v>20000</v>
      </c>
      <c r="K57" s="198">
        <v>20000</v>
      </c>
      <c r="M57" s="144" t="str">
        <f t="shared" si="3"/>
        <v>422</v>
      </c>
      <c r="N57" s="144" t="str">
        <f t="shared" si="4"/>
        <v>42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08008</v>
      </c>
      <c r="B58" s="148" t="str">
        <f>IF(C58="","",VLOOKUP('Opći dio'!$C$3,'Opći dio'!$L$6:$U$135,9,FALSE))</f>
        <v>Javni instituti</v>
      </c>
      <c r="C58" s="154">
        <v>11</v>
      </c>
      <c r="D58" s="149" t="str">
        <f t="shared" si="1"/>
        <v>Opći prihodi i primici</v>
      </c>
      <c r="E58" s="154">
        <v>4262</v>
      </c>
      <c r="F58" s="149" t="str">
        <f t="shared" si="0"/>
        <v>Ulaganja u računalne programe</v>
      </c>
      <c r="G58" s="201" t="s">
        <v>911</v>
      </c>
      <c r="H58" s="149" t="str">
        <f t="shared" si="2"/>
        <v>PROGRAMSKO FINANCIRANJE JAVNIH ZNANSTVENIH INSTITUTA</v>
      </c>
      <c r="I58" s="198">
        <v>9000</v>
      </c>
      <c r="J58" s="198">
        <v>9261</v>
      </c>
      <c r="K58" s="198">
        <v>9000</v>
      </c>
      <c r="M58" s="144" t="str">
        <f t="shared" si="3"/>
        <v>426</v>
      </c>
      <c r="N58" s="144" t="str">
        <f t="shared" si="4"/>
        <v>42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08008</v>
      </c>
      <c r="B59" s="148" t="str">
        <f>IF(C59="","",VLOOKUP('Opći dio'!$C$3,'Opći dio'!$L$6:$U$135,9,FALSE))</f>
        <v>Javni instituti</v>
      </c>
      <c r="C59" s="154">
        <v>11</v>
      </c>
      <c r="D59" s="149" t="str">
        <f t="shared" si="1"/>
        <v>Opći prihodi i primici</v>
      </c>
      <c r="E59" s="154">
        <v>3224</v>
      </c>
      <c r="F59" s="149" t="str">
        <f t="shared" si="0"/>
        <v>Materijal i dijelovi za tekuće i investicijsko održavanje</v>
      </c>
      <c r="G59" s="201" t="s">
        <v>911</v>
      </c>
      <c r="H59" s="149" t="str">
        <f t="shared" si="2"/>
        <v>PROGRAMSKO FINANCIRANJE JAVNIH ZNANSTVENIH INSTITUTA</v>
      </c>
      <c r="I59" s="198">
        <v>27000</v>
      </c>
      <c r="J59" s="198">
        <v>27000</v>
      </c>
      <c r="K59" s="198">
        <v>27000</v>
      </c>
      <c r="M59" s="144" t="str">
        <f t="shared" si="3"/>
        <v>322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08008</v>
      </c>
      <c r="B60" s="148" t="str">
        <f>IF(C60="","",VLOOKUP('Opći dio'!$C$3,'Opći dio'!$L$6:$U$135,9,FALSE))</f>
        <v>Javni instituti</v>
      </c>
      <c r="C60" s="154">
        <v>43</v>
      </c>
      <c r="D60" s="149" t="str">
        <f t="shared" si="1"/>
        <v>Ostali prihodi za posebne namjene</v>
      </c>
      <c r="E60" s="154">
        <v>3211</v>
      </c>
      <c r="F60" s="149" t="str">
        <f t="shared" si="0"/>
        <v>Službena putovanja</v>
      </c>
      <c r="G60" s="201" t="s">
        <v>909</v>
      </c>
      <c r="H60" s="149" t="str">
        <f t="shared" si="2"/>
        <v>REDOVNA DJELATNOST JAVNIH INSTITUTA (IZ EVIDENCIJSKIH PRIHODA)</v>
      </c>
      <c r="I60" s="198">
        <v>5424</v>
      </c>
      <c r="J60" s="198">
        <v>10848</v>
      </c>
      <c r="K60" s="198">
        <v>5424</v>
      </c>
      <c r="M60" s="144" t="str">
        <f t="shared" si="3"/>
        <v>321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08008</v>
      </c>
      <c r="B61" s="148" t="str">
        <f>IF(C61="","",VLOOKUP('Opći dio'!$C$3,'Opći dio'!$L$6:$U$135,9,FALSE))</f>
        <v>Javni instituti</v>
      </c>
      <c r="C61" s="154">
        <v>43</v>
      </c>
      <c r="D61" s="149" t="str">
        <f t="shared" si="1"/>
        <v>Ostali prihodi za posebne namjene</v>
      </c>
      <c r="E61" s="154">
        <v>3213</v>
      </c>
      <c r="F61" s="149" t="str">
        <f t="shared" si="0"/>
        <v>Stručno usavršavanje zaposlenika</v>
      </c>
      <c r="G61" s="201" t="s">
        <v>909</v>
      </c>
      <c r="H61" s="149" t="str">
        <f t="shared" si="2"/>
        <v>REDOVNA DJELATNOST JAVNIH INSTITUTA (IZ EVIDENCIJSKIH PRIHODA)</v>
      </c>
      <c r="I61" s="198">
        <v>2250</v>
      </c>
      <c r="J61" s="198">
        <v>4500</v>
      </c>
      <c r="K61" s="198">
        <v>2250</v>
      </c>
      <c r="M61" s="144" t="str">
        <f t="shared" si="3"/>
        <v>321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08008</v>
      </c>
      <c r="B62" s="148" t="str">
        <f>IF(C62="","",VLOOKUP('Opći dio'!$C$3,'Opći dio'!$L$6:$U$135,9,FALSE))</f>
        <v>Javni instituti</v>
      </c>
      <c r="C62" s="154">
        <v>43</v>
      </c>
      <c r="D62" s="149" t="str">
        <f t="shared" si="1"/>
        <v>Ostali prihodi za posebne namjene</v>
      </c>
      <c r="E62" s="154">
        <v>3221</v>
      </c>
      <c r="F62" s="149" t="str">
        <f t="shared" si="0"/>
        <v>Uredski materijal i ostali materijalni rashodi</v>
      </c>
      <c r="G62" s="201" t="s">
        <v>909</v>
      </c>
      <c r="H62" s="149" t="str">
        <f t="shared" si="2"/>
        <v>REDOVNA DJELATNOST JAVNIH INSTITUTA (IZ EVIDENCIJSKIH PRIHODA)</v>
      </c>
      <c r="I62" s="198">
        <v>2343</v>
      </c>
      <c r="J62" s="198">
        <v>2343</v>
      </c>
      <c r="K62" s="198"/>
      <c r="M62" s="144" t="str">
        <f t="shared" si="3"/>
        <v>322</v>
      </c>
      <c r="N62" s="144" t="str">
        <f t="shared" si="4"/>
        <v>32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08008</v>
      </c>
      <c r="B63" s="148" t="str">
        <f>IF(C63="","",VLOOKUP('Opći dio'!$C$3,'Opći dio'!$L$6:$U$135,9,FALSE))</f>
        <v>Javni instituti</v>
      </c>
      <c r="C63" s="154">
        <v>52</v>
      </c>
      <c r="D63" s="149" t="str">
        <f t="shared" si="1"/>
        <v>Ostale pomoći</v>
      </c>
      <c r="E63" s="154">
        <v>3211</v>
      </c>
      <c r="F63" s="149" t="str">
        <f t="shared" si="0"/>
        <v>Službena putovanja</v>
      </c>
      <c r="G63" s="201" t="s">
        <v>907</v>
      </c>
      <c r="H63" s="149" t="str">
        <f t="shared" si="2"/>
        <v>EU PROJEKTI JAVNIH INSTITUTA (IZ EVIDENCIJSKIH PRIHODA)</v>
      </c>
      <c r="I63" s="198">
        <v>28026</v>
      </c>
      <c r="J63" s="198"/>
      <c r="K63" s="198"/>
      <c r="M63" s="144" t="str">
        <f t="shared" si="3"/>
        <v>321</v>
      </c>
      <c r="N63" s="144" t="str">
        <f t="shared" si="4"/>
        <v>32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08008</v>
      </c>
      <c r="B64" s="148" t="str">
        <f>IF(C64="","",VLOOKUP('Opći dio'!$C$3,'Opći dio'!$L$6:$U$135,9,FALSE))</f>
        <v>Javni instituti</v>
      </c>
      <c r="C64" s="154">
        <v>52</v>
      </c>
      <c r="D64" s="149" t="str">
        <f t="shared" si="1"/>
        <v>Ostale pomoći</v>
      </c>
      <c r="E64" s="154">
        <v>3221</v>
      </c>
      <c r="F64" s="149" t="str">
        <f t="shared" si="0"/>
        <v>Uredski materijal i ostali materijalni rashodi</v>
      </c>
      <c r="G64" s="201" t="s">
        <v>907</v>
      </c>
      <c r="H64" s="149" t="str">
        <f t="shared" si="2"/>
        <v>EU PROJEKTI JAVNIH INSTITUTA (IZ EVIDENCIJSKIH PRIHODA)</v>
      </c>
      <c r="I64" s="198">
        <v>6450</v>
      </c>
      <c r="J64" s="198"/>
      <c r="K64" s="198"/>
      <c r="M64" s="144" t="str">
        <f t="shared" si="3"/>
        <v>322</v>
      </c>
      <c r="N64" s="144" t="str">
        <f t="shared" si="4"/>
        <v>32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08008</v>
      </c>
      <c r="B65" s="148" t="str">
        <f>IF(C65="","",VLOOKUP('Opći dio'!$C$3,'Opći dio'!$L$6:$U$135,9,FALSE))</f>
        <v>Javni instituti</v>
      </c>
      <c r="C65" s="154">
        <v>52</v>
      </c>
      <c r="D65" s="149" t="str">
        <f t="shared" si="1"/>
        <v>Ostale pomoći</v>
      </c>
      <c r="E65" s="154">
        <v>3235</v>
      </c>
      <c r="F65" s="149" t="str">
        <f t="shared" si="0"/>
        <v>Zakupnine i najamnine</v>
      </c>
      <c r="G65" s="201" t="s">
        <v>907</v>
      </c>
      <c r="H65" s="149" t="str">
        <f t="shared" si="2"/>
        <v>EU PROJEKTI JAVNIH INSTITUTA (IZ EVIDENCIJSKIH PRIHODA)</v>
      </c>
      <c r="I65" s="198">
        <v>5000</v>
      </c>
      <c r="J65" s="198"/>
      <c r="K65" s="198"/>
      <c r="M65" s="144" t="str">
        <f t="shared" si="3"/>
        <v>323</v>
      </c>
      <c r="N65" s="144" t="str">
        <f t="shared" si="4"/>
        <v>32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08008</v>
      </c>
      <c r="B66" s="148" t="str">
        <f>IF(C66="","",VLOOKUP('Opći dio'!$C$3,'Opći dio'!$L$6:$U$135,9,FALSE))</f>
        <v>Javni instituti</v>
      </c>
      <c r="C66" s="154">
        <v>52</v>
      </c>
      <c r="D66" s="149" t="str">
        <f t="shared" si="1"/>
        <v>Ostale pomoći</v>
      </c>
      <c r="E66" s="154">
        <v>3237</v>
      </c>
      <c r="F66" s="149" t="str">
        <f t="shared" si="0"/>
        <v>Intelektualne i osobne usluge</v>
      </c>
      <c r="G66" s="201" t="s">
        <v>907</v>
      </c>
      <c r="H66" s="149" t="str">
        <f t="shared" si="2"/>
        <v>EU PROJEKTI JAVNIH INSTITUTA (IZ EVIDENCIJSKIH PRIHODA)</v>
      </c>
      <c r="I66" s="198">
        <v>260123</v>
      </c>
      <c r="J66" s="198"/>
      <c r="K66" s="198"/>
      <c r="M66" s="144" t="str">
        <f t="shared" si="3"/>
        <v>323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08008</v>
      </c>
      <c r="B67" s="148" t="str">
        <f>IF(C67="","",VLOOKUP('Opći dio'!$C$3,'Opći dio'!$L$6:$U$135,9,FALSE))</f>
        <v>Javni instituti</v>
      </c>
      <c r="C67" s="154">
        <v>52</v>
      </c>
      <c r="D67" s="149" t="str">
        <f t="shared" si="1"/>
        <v>Ostale pomoći</v>
      </c>
      <c r="E67" s="154">
        <v>3293</v>
      </c>
      <c r="F67" s="149" t="str">
        <f t="shared" ref="F67:F130" si="11">IFERROR(VLOOKUP(E67,$R$5:$T$129,2,FALSE),"")</f>
        <v>Reprezentacija</v>
      </c>
      <c r="G67" s="201" t="s">
        <v>907</v>
      </c>
      <c r="H67" s="149" t="str">
        <f t="shared" si="2"/>
        <v>EU PROJEKTI JAVNIH INSTITUTA (IZ EVIDENCIJSKIH PRIHODA)</v>
      </c>
      <c r="I67" s="198">
        <v>4000</v>
      </c>
      <c r="J67" s="198"/>
      <c r="K67" s="198"/>
      <c r="M67" s="144" t="str">
        <f t="shared" si="3"/>
        <v>329</v>
      </c>
      <c r="N67" s="144" t="str">
        <f t="shared" si="4"/>
        <v>32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08008</v>
      </c>
      <c r="B68" s="148" t="str">
        <f>IF(C68="","",VLOOKUP('Opći dio'!$C$3,'Opći dio'!$L$6:$U$135,9,FALSE))</f>
        <v>Javni instituti</v>
      </c>
      <c r="C68" s="154">
        <v>52</v>
      </c>
      <c r="D68" s="149" t="str">
        <f t="shared" ref="D68:D131" si="12">IFERROR(VLOOKUP(C68,$O$6:$P$16,2,FALSE),"")</f>
        <v>Ostale pomoći</v>
      </c>
      <c r="E68" s="154">
        <v>3431</v>
      </c>
      <c r="F68" s="149" t="str">
        <f t="shared" si="11"/>
        <v>Bankarske usluge i usluge platnog prometa</v>
      </c>
      <c r="G68" s="201" t="s">
        <v>907</v>
      </c>
      <c r="H68" s="149" t="str">
        <f t="shared" ref="H68:H131" si="13">IFERROR(VLOOKUP(G68,$X$6:$Y$50,2,FALSE),"")</f>
        <v>EU PROJEKTI JAVNIH INSTITUTA (IZ EVIDENCIJSKIH PRIHODA)</v>
      </c>
      <c r="I68" s="198">
        <v>550</v>
      </c>
      <c r="J68" s="198"/>
      <c r="K68" s="198"/>
      <c r="M68" s="144" t="str">
        <f t="shared" ref="M68:M131" si="14">LEFT(E68,3)</f>
        <v>343</v>
      </c>
      <c r="N68" s="144" t="str">
        <f t="shared" ref="N68:N131" si="15">LEFT(E68,2)</f>
        <v>34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08008</v>
      </c>
      <c r="B69" s="148" t="str">
        <f>IF(C69="","",VLOOKUP('Opći dio'!$C$3,'Opći dio'!$L$6:$U$135,9,FALSE))</f>
        <v>Javni instituti</v>
      </c>
      <c r="C69" s="154">
        <v>52</v>
      </c>
      <c r="D69" s="149" t="str">
        <f t="shared" si="12"/>
        <v>Ostale pomoći</v>
      </c>
      <c r="E69" s="154">
        <v>3432</v>
      </c>
      <c r="F69" s="149" t="str">
        <f t="shared" si="11"/>
        <v>Negativne tečajne razlike i razlike zbog primjene valutne kl</v>
      </c>
      <c r="G69" s="201" t="s">
        <v>907</v>
      </c>
      <c r="H69" s="149" t="str">
        <f t="shared" si="13"/>
        <v>EU PROJEKTI JAVNIH INSTITUTA (IZ EVIDENCIJSKIH PRIHODA)</v>
      </c>
      <c r="I69" s="198">
        <v>2459</v>
      </c>
      <c r="J69" s="198"/>
      <c r="K69" s="198"/>
      <c r="M69" s="144" t="str">
        <f t="shared" si="14"/>
        <v>343</v>
      </c>
      <c r="N69" s="144" t="str">
        <f t="shared" si="15"/>
        <v>34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08008</v>
      </c>
      <c r="B70" s="148" t="str">
        <f>IF(C70="","",VLOOKUP('Opći dio'!$C$3,'Opći dio'!$L$6:$U$135,9,FALSE))</f>
        <v>Javni instituti</v>
      </c>
      <c r="C70" s="154">
        <v>51</v>
      </c>
      <c r="D70" s="149" t="str">
        <f t="shared" si="12"/>
        <v>Pomoći EU</v>
      </c>
      <c r="E70" s="154">
        <v>3111</v>
      </c>
      <c r="F70" s="149" t="str">
        <f t="shared" si="11"/>
        <v>Plaće za redovan rad</v>
      </c>
      <c r="G70" s="201" t="s">
        <v>907</v>
      </c>
      <c r="H70" s="149" t="str">
        <f t="shared" si="13"/>
        <v>EU PROJEKTI JAVNIH INSTITUTA (IZ EVIDENCIJSKIH PRIHODA)</v>
      </c>
      <c r="I70" s="198">
        <v>503091</v>
      </c>
      <c r="J70" s="198">
        <v>352431</v>
      </c>
      <c r="K70" s="198"/>
      <c r="M70" s="144" t="str">
        <f t="shared" si="14"/>
        <v>311</v>
      </c>
      <c r="N70" s="144" t="str">
        <f t="shared" si="15"/>
        <v>31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08008</v>
      </c>
      <c r="B71" s="148" t="str">
        <f>IF(C71="","",VLOOKUP('Opći dio'!$C$3,'Opći dio'!$L$6:$U$135,9,FALSE))</f>
        <v>Javni instituti</v>
      </c>
      <c r="C71" s="154">
        <v>51</v>
      </c>
      <c r="D71" s="149" t="str">
        <f t="shared" si="12"/>
        <v>Pomoći EU</v>
      </c>
      <c r="E71" s="154">
        <v>3132</v>
      </c>
      <c r="F71" s="149" t="str">
        <f t="shared" si="11"/>
        <v>Doprinosi za obvezno zdravstveno osiguranje</v>
      </c>
      <c r="G71" s="201" t="s">
        <v>907</v>
      </c>
      <c r="H71" s="149" t="str">
        <f t="shared" si="13"/>
        <v>EU PROJEKTI JAVNIH INSTITUTA (IZ EVIDENCIJSKIH PRIHODA)</v>
      </c>
      <c r="I71" s="198">
        <v>83011</v>
      </c>
      <c r="J71" s="198">
        <v>58151</v>
      </c>
      <c r="K71" s="198"/>
      <c r="M71" s="144" t="str">
        <f t="shared" si="14"/>
        <v>313</v>
      </c>
      <c r="N71" s="144" t="str">
        <f t="shared" si="15"/>
        <v>31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08008</v>
      </c>
      <c r="B72" s="148" t="str">
        <f>IF(C72="","",VLOOKUP('Opći dio'!$C$3,'Opći dio'!$L$6:$U$135,9,FALSE))</f>
        <v>Javni instituti</v>
      </c>
      <c r="C72" s="154">
        <v>51</v>
      </c>
      <c r="D72" s="149" t="str">
        <f t="shared" si="12"/>
        <v>Pomoći EU</v>
      </c>
      <c r="E72" s="154">
        <v>3211</v>
      </c>
      <c r="F72" s="149" t="str">
        <f t="shared" si="11"/>
        <v>Službena putovanja</v>
      </c>
      <c r="G72" s="201" t="s">
        <v>907</v>
      </c>
      <c r="H72" s="149" t="str">
        <f t="shared" si="13"/>
        <v>EU PROJEKTI JAVNIH INSTITUTA (IZ EVIDENCIJSKIH PRIHODA)</v>
      </c>
      <c r="I72" s="198">
        <v>34309</v>
      </c>
      <c r="J72" s="198">
        <v>37994</v>
      </c>
      <c r="K72" s="198"/>
      <c r="M72" s="144" t="str">
        <f t="shared" si="14"/>
        <v>321</v>
      </c>
      <c r="N72" s="144" t="str">
        <f t="shared" si="15"/>
        <v>32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08008</v>
      </c>
      <c r="B73" s="148" t="str">
        <f>IF(C73="","",VLOOKUP('Opći dio'!$C$3,'Opći dio'!$L$6:$U$135,9,FALSE))</f>
        <v>Javni instituti</v>
      </c>
      <c r="C73" s="154">
        <v>51</v>
      </c>
      <c r="D73" s="149" t="str">
        <f t="shared" si="12"/>
        <v>Pomoći EU</v>
      </c>
      <c r="E73" s="154">
        <v>3212</v>
      </c>
      <c r="F73" s="149" t="str">
        <f t="shared" si="11"/>
        <v>Naknade za prijevoz, za rad na terenu i odvojeni život</v>
      </c>
      <c r="G73" s="201" t="s">
        <v>907</v>
      </c>
      <c r="H73" s="149" t="str">
        <f t="shared" si="13"/>
        <v>EU PROJEKTI JAVNIH INSTITUTA (IZ EVIDENCIJSKIH PRIHODA)</v>
      </c>
      <c r="I73" s="198">
        <v>6960</v>
      </c>
      <c r="J73" s="198">
        <v>5220</v>
      </c>
      <c r="K73" s="198"/>
      <c r="M73" s="144" t="str">
        <f t="shared" si="14"/>
        <v>321</v>
      </c>
      <c r="N73" s="144" t="str">
        <f t="shared" si="15"/>
        <v>32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08008</v>
      </c>
      <c r="B74" s="148" t="str">
        <f>IF(C74="","",VLOOKUP('Opći dio'!$C$3,'Opći dio'!$L$6:$U$135,9,FALSE))</f>
        <v>Javni instituti</v>
      </c>
      <c r="C74" s="154">
        <v>51</v>
      </c>
      <c r="D74" s="149" t="str">
        <f t="shared" si="12"/>
        <v>Pomoći EU</v>
      </c>
      <c r="E74" s="154">
        <v>3237</v>
      </c>
      <c r="F74" s="149" t="str">
        <f t="shared" si="11"/>
        <v>Intelektualne i osobne usluge</v>
      </c>
      <c r="G74" s="201" t="s">
        <v>907</v>
      </c>
      <c r="H74" s="149" t="str">
        <f t="shared" si="13"/>
        <v>EU PROJEKTI JAVNIH INSTITUTA (IZ EVIDENCIJSKIH PRIHODA)</v>
      </c>
      <c r="I74" s="198">
        <v>85890</v>
      </c>
      <c r="J74" s="198">
        <v>88494</v>
      </c>
      <c r="K74" s="198"/>
      <c r="M74" s="144" t="str">
        <f t="shared" si="14"/>
        <v>323</v>
      </c>
      <c r="N74" s="144" t="str">
        <f t="shared" si="15"/>
        <v>32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08008</v>
      </c>
      <c r="B75" s="148" t="str">
        <f>IF(C75="","",VLOOKUP('Opći dio'!$C$3,'Opći dio'!$L$6:$U$135,9,FALSE))</f>
        <v>Javni instituti</v>
      </c>
      <c r="C75" s="154">
        <v>51</v>
      </c>
      <c r="D75" s="149" t="str">
        <f t="shared" si="12"/>
        <v>Pomoći EU</v>
      </c>
      <c r="E75" s="154">
        <v>3239</v>
      </c>
      <c r="F75" s="149" t="str">
        <f t="shared" si="11"/>
        <v>Ostale usluge</v>
      </c>
      <c r="G75" s="201" t="s">
        <v>907</v>
      </c>
      <c r="H75" s="149" t="str">
        <f t="shared" si="13"/>
        <v>EU PROJEKTI JAVNIH INSTITUTA (IZ EVIDENCIJSKIH PRIHODA)</v>
      </c>
      <c r="I75" s="198">
        <v>80954</v>
      </c>
      <c r="J75" s="198">
        <v>56396</v>
      </c>
      <c r="K75" s="198"/>
      <c r="M75" s="144" t="str">
        <f t="shared" si="14"/>
        <v>323</v>
      </c>
      <c r="N75" s="144" t="str">
        <f t="shared" si="15"/>
        <v>32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08008</v>
      </c>
      <c r="B76" s="148" t="str">
        <f>IF(C76="","",VLOOKUP('Opći dio'!$C$3,'Opći dio'!$L$6:$U$135,9,FALSE))</f>
        <v>Javni instituti</v>
      </c>
      <c r="C76" s="154">
        <v>51</v>
      </c>
      <c r="D76" s="149" t="str">
        <f t="shared" si="12"/>
        <v>Pomoći EU</v>
      </c>
      <c r="E76" s="154">
        <v>3211</v>
      </c>
      <c r="F76" s="149" t="str">
        <f t="shared" si="11"/>
        <v>Službena putovanja</v>
      </c>
      <c r="G76" s="201" t="s">
        <v>907</v>
      </c>
      <c r="H76" s="149" t="str">
        <f t="shared" si="13"/>
        <v>EU PROJEKTI JAVNIH INSTITUTA (IZ EVIDENCIJSKIH PRIHODA)</v>
      </c>
      <c r="I76" s="198">
        <v>17250</v>
      </c>
      <c r="J76" s="198">
        <v>8625</v>
      </c>
      <c r="K76" s="198"/>
      <c r="M76" s="144" t="str">
        <f t="shared" si="14"/>
        <v>321</v>
      </c>
      <c r="N76" s="144" t="str">
        <f t="shared" si="15"/>
        <v>32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08008</v>
      </c>
      <c r="B77" s="148" t="str">
        <f>IF(C77="","",VLOOKUP('Opći dio'!$C$3,'Opći dio'!$L$6:$U$135,9,FALSE))</f>
        <v>Javni instituti</v>
      </c>
      <c r="C77" s="154">
        <v>51</v>
      </c>
      <c r="D77" s="149" t="str">
        <f t="shared" si="12"/>
        <v>Pomoći EU</v>
      </c>
      <c r="E77" s="154">
        <v>3237</v>
      </c>
      <c r="F77" s="149" t="str">
        <f t="shared" si="11"/>
        <v>Intelektualne i osobne usluge</v>
      </c>
      <c r="G77" s="201" t="s">
        <v>907</v>
      </c>
      <c r="H77" s="149" t="str">
        <f t="shared" si="13"/>
        <v>EU PROJEKTI JAVNIH INSTITUTA (IZ EVIDENCIJSKIH PRIHODA)</v>
      </c>
      <c r="I77" s="198">
        <v>55095</v>
      </c>
      <c r="J77" s="198">
        <v>16245</v>
      </c>
      <c r="K77" s="198"/>
      <c r="M77" s="144" t="str">
        <f t="shared" si="14"/>
        <v>323</v>
      </c>
      <c r="N77" s="144" t="str">
        <f t="shared" si="15"/>
        <v>32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08008</v>
      </c>
      <c r="B78" s="148" t="str">
        <f>IF(C78="","",VLOOKUP('Opći dio'!$C$3,'Opći dio'!$L$6:$U$135,9,FALSE))</f>
        <v>Javni instituti</v>
      </c>
      <c r="C78" s="154">
        <v>51</v>
      </c>
      <c r="D78" s="149" t="str">
        <f t="shared" si="12"/>
        <v>Pomoći EU</v>
      </c>
      <c r="E78" s="154">
        <v>3241</v>
      </c>
      <c r="F78" s="149" t="str">
        <f t="shared" si="11"/>
        <v>Naknade troškova osobama izvan radnog odnosa</v>
      </c>
      <c r="G78" s="201" t="s">
        <v>907</v>
      </c>
      <c r="H78" s="149" t="str">
        <f t="shared" si="13"/>
        <v>EU PROJEKTI JAVNIH INSTITUTA (IZ EVIDENCIJSKIH PRIHODA)</v>
      </c>
      <c r="I78" s="198"/>
      <c r="J78" s="198">
        <v>22883</v>
      </c>
      <c r="K78" s="198"/>
      <c r="M78" s="144" t="str">
        <f t="shared" si="14"/>
        <v>324</v>
      </c>
      <c r="N78" s="144" t="str">
        <f t="shared" si="15"/>
        <v>32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08008</v>
      </c>
      <c r="B79" s="148" t="str">
        <f>IF(C79="","",VLOOKUP('Opći dio'!$C$3,'Opći dio'!$L$6:$U$135,9,FALSE))</f>
        <v>Javni instituti</v>
      </c>
      <c r="C79" s="154">
        <v>43</v>
      </c>
      <c r="D79" s="149" t="str">
        <f t="shared" si="12"/>
        <v>Ostali prihodi za posebne namjene</v>
      </c>
      <c r="E79" s="154">
        <v>3235</v>
      </c>
      <c r="F79" s="149" t="str">
        <f t="shared" si="11"/>
        <v>Zakupnine i najamnine</v>
      </c>
      <c r="G79" s="201" t="s">
        <v>909</v>
      </c>
      <c r="H79" s="149" t="str">
        <f t="shared" si="13"/>
        <v>REDOVNA DJELATNOST JAVNIH INSTITUTA (IZ EVIDENCIJSKIH PRIHODA)</v>
      </c>
      <c r="I79" s="198"/>
      <c r="J79" s="198"/>
      <c r="K79" s="198">
        <v>4000</v>
      </c>
      <c r="M79" s="144" t="str">
        <f t="shared" si="14"/>
        <v>323</v>
      </c>
      <c r="N79" s="144" t="str">
        <f t="shared" si="15"/>
        <v>32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08008</v>
      </c>
      <c r="B80" s="148" t="str">
        <f>IF(C80="","",VLOOKUP('Opći dio'!$C$3,'Opći dio'!$L$6:$U$135,9,FALSE))</f>
        <v>Javni instituti</v>
      </c>
      <c r="C80" s="154">
        <v>43</v>
      </c>
      <c r="D80" s="149" t="str">
        <f t="shared" si="12"/>
        <v>Ostali prihodi za posebne namjene</v>
      </c>
      <c r="E80" s="154">
        <v>3239</v>
      </c>
      <c r="F80" s="149" t="str">
        <f t="shared" si="11"/>
        <v>Ostale usluge</v>
      </c>
      <c r="G80" s="201" t="s">
        <v>909</v>
      </c>
      <c r="H80" s="149" t="str">
        <f t="shared" si="13"/>
        <v>REDOVNA DJELATNOST JAVNIH INSTITUTA (IZ EVIDENCIJSKIH PRIHODA)</v>
      </c>
      <c r="I80" s="198"/>
      <c r="J80" s="198"/>
      <c r="K80" s="198">
        <v>2500</v>
      </c>
      <c r="M80" s="144" t="str">
        <f t="shared" si="14"/>
        <v>323</v>
      </c>
      <c r="N80" s="144" t="str">
        <f t="shared" si="15"/>
        <v>32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>08008</v>
      </c>
      <c r="B81" s="148" t="str">
        <f>IF(C81="","",VLOOKUP('Opći dio'!$C$3,'Opći dio'!$L$6:$U$135,9,FALSE))</f>
        <v>Javni instituti</v>
      </c>
      <c r="C81" s="154">
        <v>43</v>
      </c>
      <c r="D81" s="149" t="str">
        <f t="shared" si="12"/>
        <v>Ostali prihodi za posebne namjene</v>
      </c>
      <c r="E81" s="154">
        <v>3293</v>
      </c>
      <c r="F81" s="149" t="str">
        <f t="shared" si="11"/>
        <v>Reprezentacija</v>
      </c>
      <c r="G81" s="201" t="s">
        <v>909</v>
      </c>
      <c r="H81" s="149" t="str">
        <f t="shared" si="13"/>
        <v>REDOVNA DJELATNOST JAVNIH INSTITUTA (IZ EVIDENCIJSKIH PRIHODA)</v>
      </c>
      <c r="I81" s="198"/>
      <c r="J81" s="198"/>
      <c r="K81" s="198">
        <v>3500</v>
      </c>
      <c r="M81" s="144" t="str">
        <f t="shared" si="14"/>
        <v>329</v>
      </c>
      <c r="N81" s="144" t="str">
        <f t="shared" si="15"/>
        <v>32</v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/>
      </c>
      <c r="B82" s="148" t="str">
        <f>IF(C82="","",VLOOKUP('Opći dio'!$C$3,'Opći dio'!$L$6:$U$135,9,FALSE))</f>
        <v/>
      </c>
      <c r="C82" s="154"/>
      <c r="D82" s="149" t="str">
        <f t="shared" si="12"/>
        <v/>
      </c>
      <c r="E82" s="154"/>
      <c r="F82" s="149" t="str">
        <f t="shared" si="11"/>
        <v/>
      </c>
      <c r="G82" s="201"/>
      <c r="H82" s="149" t="str">
        <f t="shared" si="13"/>
        <v/>
      </c>
      <c r="I82" s="198"/>
      <c r="J82" s="198"/>
      <c r="K82" s="198"/>
      <c r="M82" s="144" t="str">
        <f t="shared" si="14"/>
        <v/>
      </c>
      <c r="N82" s="144" t="str">
        <f t="shared" si="15"/>
        <v/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/>
      </c>
      <c r="B83" s="148" t="str">
        <f>IF(C83="","",VLOOKUP('Opći dio'!$C$3,'Opći dio'!$L$6:$U$135,9,FALSE))</f>
        <v/>
      </c>
      <c r="C83" s="154"/>
      <c r="D83" s="149" t="str">
        <f t="shared" si="12"/>
        <v/>
      </c>
      <c r="E83" s="154"/>
      <c r="F83" s="149" t="str">
        <f t="shared" si="11"/>
        <v/>
      </c>
      <c r="G83" s="201"/>
      <c r="H83" s="149" t="str">
        <f t="shared" si="13"/>
        <v/>
      </c>
      <c r="I83" s="198"/>
      <c r="J83" s="198"/>
      <c r="K83" s="198"/>
      <c r="M83" s="144" t="str">
        <f t="shared" si="14"/>
        <v/>
      </c>
      <c r="N83" s="144" t="str">
        <f t="shared" si="15"/>
        <v/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/>
      </c>
      <c r="B84" s="148" t="str">
        <f>IF(C84="","",VLOOKUP('Opći dio'!$C$3,'Opći dio'!$L$6:$U$135,9,FALSE))</f>
        <v/>
      </c>
      <c r="C84" s="154"/>
      <c r="D84" s="149" t="str">
        <f t="shared" si="12"/>
        <v/>
      </c>
      <c r="E84" s="154"/>
      <c r="F84" s="149" t="str">
        <f t="shared" si="11"/>
        <v/>
      </c>
      <c r="G84" s="201"/>
      <c r="H84" s="149" t="str">
        <f t="shared" si="13"/>
        <v/>
      </c>
      <c r="I84" s="198"/>
      <c r="J84" s="198"/>
      <c r="K84" s="198"/>
      <c r="M84" s="144" t="str">
        <f t="shared" si="14"/>
        <v/>
      </c>
      <c r="N84" s="144" t="str">
        <f t="shared" si="15"/>
        <v/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/>
      </c>
      <c r="B85" s="148" t="str">
        <f>IF(C85="","",VLOOKUP('Opći dio'!$C$3,'Opći dio'!$L$6:$U$135,9,FALSE))</f>
        <v/>
      </c>
      <c r="C85" s="154"/>
      <c r="D85" s="149" t="str">
        <f t="shared" si="12"/>
        <v/>
      </c>
      <c r="E85" s="154"/>
      <c r="F85" s="149" t="str">
        <f t="shared" si="11"/>
        <v/>
      </c>
      <c r="G85" s="201"/>
      <c r="H85" s="149" t="str">
        <f t="shared" si="13"/>
        <v/>
      </c>
      <c r="I85" s="198"/>
      <c r="J85" s="198"/>
      <c r="K85" s="198"/>
      <c r="M85" s="144" t="str">
        <f t="shared" si="14"/>
        <v/>
      </c>
      <c r="N85" s="144" t="str">
        <f t="shared" si="15"/>
        <v/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/>
      </c>
      <c r="B86" s="148" t="str">
        <f>IF(C86="","",VLOOKUP('Opći dio'!$C$3,'Opći dio'!$L$6:$U$135,9,FALSE))</f>
        <v/>
      </c>
      <c r="C86" s="154"/>
      <c r="D86" s="149" t="str">
        <f t="shared" si="12"/>
        <v/>
      </c>
      <c r="E86" s="154"/>
      <c r="F86" s="149" t="str">
        <f t="shared" si="11"/>
        <v/>
      </c>
      <c r="G86" s="201"/>
      <c r="H86" s="149" t="str">
        <f t="shared" si="13"/>
        <v/>
      </c>
      <c r="I86" s="198"/>
      <c r="J86" s="198"/>
      <c r="K86" s="198"/>
      <c r="M86" s="144" t="str">
        <f t="shared" si="14"/>
        <v/>
      </c>
      <c r="N86" s="144" t="str">
        <f t="shared" si="15"/>
        <v/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/>
      </c>
      <c r="B87" s="148" t="str">
        <f>IF(C87="","",VLOOKUP('Opći dio'!$C$3,'Opći dio'!$L$6:$U$135,9,FALSE))</f>
        <v/>
      </c>
      <c r="C87" s="154"/>
      <c r="D87" s="149" t="str">
        <f t="shared" si="12"/>
        <v/>
      </c>
      <c r="E87" s="154"/>
      <c r="F87" s="149" t="str">
        <f t="shared" si="11"/>
        <v/>
      </c>
      <c r="G87" s="201"/>
      <c r="H87" s="149" t="str">
        <f t="shared" si="13"/>
        <v/>
      </c>
      <c r="I87" s="198"/>
      <c r="J87" s="198"/>
      <c r="K87" s="198"/>
      <c r="M87" s="144" t="str">
        <f t="shared" si="14"/>
        <v/>
      </c>
      <c r="N87" s="144" t="str">
        <f t="shared" si="15"/>
        <v/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/>
      </c>
      <c r="B88" s="148" t="str">
        <f>IF(C88="","",VLOOKUP('Opći dio'!$C$3,'Opći dio'!$L$6:$U$135,9,FALSE))</f>
        <v/>
      </c>
      <c r="C88" s="154"/>
      <c r="D88" s="149" t="str">
        <f t="shared" si="12"/>
        <v/>
      </c>
      <c r="E88" s="154"/>
      <c r="F88" s="149" t="str">
        <f t="shared" si="11"/>
        <v/>
      </c>
      <c r="G88" s="201"/>
      <c r="H88" s="149" t="str">
        <f t="shared" si="13"/>
        <v/>
      </c>
      <c r="I88" s="198"/>
      <c r="J88" s="198"/>
      <c r="K88" s="198"/>
      <c r="M88" s="144" t="str">
        <f t="shared" si="14"/>
        <v/>
      </c>
      <c r="N88" s="144" t="str">
        <f t="shared" si="15"/>
        <v/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/>
      </c>
      <c r="B89" s="148" t="str">
        <f>IF(C89="","",VLOOKUP('Opći dio'!$C$3,'Opći dio'!$L$6:$U$135,9,FALSE))</f>
        <v/>
      </c>
      <c r="C89" s="154"/>
      <c r="D89" s="149" t="str">
        <f t="shared" si="12"/>
        <v/>
      </c>
      <c r="E89" s="154"/>
      <c r="F89" s="149" t="str">
        <f t="shared" si="11"/>
        <v/>
      </c>
      <c r="G89" s="201"/>
      <c r="H89" s="149" t="str">
        <f t="shared" si="13"/>
        <v/>
      </c>
      <c r="I89" s="198"/>
      <c r="J89" s="198"/>
      <c r="K89" s="198"/>
      <c r="M89" s="144" t="str">
        <f t="shared" si="14"/>
        <v/>
      </c>
      <c r="N89" s="144" t="str">
        <f t="shared" si="15"/>
        <v/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/>
      </c>
      <c r="B90" s="148" t="str">
        <f>IF(C90="","",VLOOKUP('Opći dio'!$C$3,'Opći dio'!$L$6:$U$135,9,FALSE))</f>
        <v/>
      </c>
      <c r="C90" s="154"/>
      <c r="D90" s="149" t="str">
        <f t="shared" si="12"/>
        <v/>
      </c>
      <c r="E90" s="154"/>
      <c r="F90" s="149" t="str">
        <f t="shared" si="11"/>
        <v/>
      </c>
      <c r="G90" s="201"/>
      <c r="H90" s="149" t="str">
        <f t="shared" si="13"/>
        <v/>
      </c>
      <c r="I90" s="198"/>
      <c r="J90" s="198"/>
      <c r="K90" s="198"/>
      <c r="M90" s="144" t="str">
        <f t="shared" si="14"/>
        <v/>
      </c>
      <c r="N90" s="144" t="str">
        <f t="shared" si="15"/>
        <v/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/>
      </c>
      <c r="B91" s="148" t="str">
        <f>IF(C91="","",VLOOKUP('Opći dio'!$C$3,'Opći dio'!$L$6:$U$135,9,FALSE))</f>
        <v/>
      </c>
      <c r="C91" s="154"/>
      <c r="D91" s="149" t="str">
        <f t="shared" si="12"/>
        <v/>
      </c>
      <c r="E91" s="154"/>
      <c r="F91" s="149" t="str">
        <f t="shared" si="11"/>
        <v/>
      </c>
      <c r="G91" s="201"/>
      <c r="H91" s="149" t="str">
        <f t="shared" si="13"/>
        <v/>
      </c>
      <c r="I91" s="198"/>
      <c r="J91" s="198"/>
      <c r="K91" s="198"/>
      <c r="M91" s="144" t="str">
        <f t="shared" si="14"/>
        <v/>
      </c>
      <c r="N91" s="144" t="str">
        <f t="shared" si="15"/>
        <v/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2"/>
        <v/>
      </c>
      <c r="E92" s="154"/>
      <c r="F92" s="149" t="str">
        <f t="shared" si="11"/>
        <v/>
      </c>
      <c r="G92" s="201"/>
      <c r="H92" s="149" t="str">
        <f t="shared" si="13"/>
        <v/>
      </c>
      <c r="I92" s="198"/>
      <c r="J92" s="198"/>
      <c r="K92" s="198"/>
      <c r="M92" s="144" t="str">
        <f t="shared" si="14"/>
        <v/>
      </c>
      <c r="N92" s="144" t="str">
        <f t="shared" si="15"/>
        <v/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2"/>
        <v/>
      </c>
      <c r="E93" s="154"/>
      <c r="F93" s="149" t="str">
        <f t="shared" si="11"/>
        <v/>
      </c>
      <c r="G93" s="201"/>
      <c r="H93" s="149" t="str">
        <f t="shared" si="13"/>
        <v/>
      </c>
      <c r="I93" s="198"/>
      <c r="J93" s="198"/>
      <c r="K93" s="198"/>
      <c r="M93" s="144" t="str">
        <f t="shared" si="14"/>
        <v/>
      </c>
      <c r="N93" s="144" t="str">
        <f t="shared" si="15"/>
        <v/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2"/>
        <v/>
      </c>
      <c r="E94" s="154"/>
      <c r="F94" s="149" t="str">
        <f t="shared" si="11"/>
        <v/>
      </c>
      <c r="G94" s="201"/>
      <c r="H94" s="149" t="str">
        <f t="shared" si="13"/>
        <v/>
      </c>
      <c r="I94" s="198"/>
      <c r="J94" s="198"/>
      <c r="K94" s="198"/>
      <c r="M94" s="144" t="str">
        <f t="shared" si="14"/>
        <v/>
      </c>
      <c r="N94" s="144" t="str">
        <f t="shared" si="15"/>
        <v/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2"/>
        <v/>
      </c>
      <c r="E95" s="154"/>
      <c r="F95" s="149" t="str">
        <f t="shared" si="11"/>
        <v/>
      </c>
      <c r="G95" s="201"/>
      <c r="H95" s="149" t="str">
        <f t="shared" si="13"/>
        <v/>
      </c>
      <c r="I95" s="198"/>
      <c r="J95" s="198"/>
      <c r="K95" s="198"/>
      <c r="M95" s="144" t="str">
        <f t="shared" si="14"/>
        <v/>
      </c>
      <c r="N95" s="144" t="str">
        <f t="shared" si="15"/>
        <v/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2"/>
        <v/>
      </c>
      <c r="E96" s="154"/>
      <c r="F96" s="149" t="str">
        <f t="shared" si="11"/>
        <v/>
      </c>
      <c r="G96" s="201"/>
      <c r="H96" s="149" t="str">
        <f t="shared" si="13"/>
        <v/>
      </c>
      <c r="I96" s="198"/>
      <c r="J96" s="198"/>
      <c r="K96" s="198"/>
      <c r="M96" s="144" t="str">
        <f t="shared" si="14"/>
        <v/>
      </c>
      <c r="N96" s="144" t="str">
        <f t="shared" si="15"/>
        <v/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2"/>
        <v/>
      </c>
      <c r="E97" s="154"/>
      <c r="F97" s="149" t="str">
        <f t="shared" si="11"/>
        <v/>
      </c>
      <c r="G97" s="201"/>
      <c r="H97" s="149" t="str">
        <f t="shared" si="13"/>
        <v/>
      </c>
      <c r="I97" s="198"/>
      <c r="J97" s="198"/>
      <c r="K97" s="198"/>
      <c r="M97" s="144" t="str">
        <f t="shared" si="14"/>
        <v/>
      </c>
      <c r="N97" s="144" t="str">
        <f t="shared" si="15"/>
        <v/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201"/>
      <c r="H98" s="149" t="str">
        <f t="shared" si="13"/>
        <v/>
      </c>
      <c r="I98" s="198"/>
      <c r="J98" s="198"/>
      <c r="K98" s="198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xmlns:xlrd2="http://schemas.microsoft.com/office/spreadsheetml/2017/richdata2"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0000000}">
      <formula1>$O$6:$O$16</formula1>
    </dataValidation>
    <dataValidation type="whole" allowBlank="1" showInputMessage="1" showErrorMessage="1" errorTitle="GREŠKA" error="U ovo polje je dozvoljen unos samo brojčanih vrijednosti (bez decimala!)" sqref="I3:K501" xr:uid="{00000000-0002-0000-02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2000000}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121"/>
  <sheetViews>
    <sheetView showGridLines="0" zoomScale="80" zoomScaleNormal="80" workbookViewId="0">
      <pane ySplit="2" topLeftCell="A45" activePane="bottomLeft" state="frozen"/>
      <selection pane="bottomLeft" activeCell="F43" sqref="F43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74" t="s">
        <v>290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8" t="s">
        <v>292</v>
      </c>
      <c r="B3" s="269"/>
      <c r="C3" s="270" t="s">
        <v>51</v>
      </c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2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950000</v>
      </c>
      <c r="D5" s="3"/>
      <c r="E5" s="3"/>
      <c r="F5" s="3">
        <v>950000</v>
      </c>
      <c r="G5" s="3"/>
      <c r="H5" s="3"/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10785397</v>
      </c>
      <c r="D6" s="15">
        <f t="shared" ref="D6:P6" si="1">+D26+D33</f>
        <v>6060012</v>
      </c>
      <c r="E6" s="15">
        <f t="shared" si="1"/>
        <v>0</v>
      </c>
      <c r="F6" s="15">
        <f t="shared" si="1"/>
        <v>3535000</v>
      </c>
      <c r="G6" s="15">
        <f t="shared" si="1"/>
        <v>10017</v>
      </c>
      <c r="H6" s="15">
        <f t="shared" si="1"/>
        <v>866560</v>
      </c>
      <c r="I6" s="15">
        <f t="shared" si="1"/>
        <v>306608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0</v>
      </c>
      <c r="N6" s="15">
        <f t="shared" si="1"/>
        <v>0</v>
      </c>
      <c r="O6" s="15">
        <f t="shared" si="1"/>
        <v>7200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-408397</v>
      </c>
      <c r="D7" s="115"/>
      <c r="E7" s="115"/>
      <c r="F7" s="115">
        <v>-408397</v>
      </c>
      <c r="G7" s="115"/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11327000</v>
      </c>
      <c r="D8" s="15">
        <f>+D5+D6+D7</f>
        <v>6060012</v>
      </c>
      <c r="E8" s="15">
        <f t="shared" ref="E8:P8" si="2">+E5+E6+E7</f>
        <v>0</v>
      </c>
      <c r="F8" s="15">
        <f t="shared" si="2"/>
        <v>4076603</v>
      </c>
      <c r="G8" s="15">
        <f t="shared" si="2"/>
        <v>10017</v>
      </c>
      <c r="H8" s="15">
        <f t="shared" si="2"/>
        <v>866560</v>
      </c>
      <c r="I8" s="15">
        <f t="shared" si="2"/>
        <v>306608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0</v>
      </c>
      <c r="N8" s="15">
        <f t="shared" si="2"/>
        <v>0</v>
      </c>
      <c r="O8" s="15">
        <f t="shared" si="2"/>
        <v>7200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11327000</v>
      </c>
      <c r="D9" s="138">
        <f>+'PLAN RASHODA I IZDATAKA'!D3</f>
        <v>6060012</v>
      </c>
      <c r="E9" s="138">
        <f>+'PLAN RASHODA I IZDATAKA'!E3</f>
        <v>0</v>
      </c>
      <c r="F9" s="138">
        <f>+'PLAN RASHODA I IZDATAKA'!F3</f>
        <v>4076603</v>
      </c>
      <c r="G9" s="138">
        <f>+'PLAN RASHODA I IZDATAKA'!G3</f>
        <v>10017</v>
      </c>
      <c r="H9" s="138">
        <f>+'PLAN RASHODA I IZDATAKA'!H3</f>
        <v>866560</v>
      </c>
      <c r="I9" s="138">
        <f>+'PLAN RASHODA I IZDATAKA'!I3</f>
        <v>306608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0</v>
      </c>
      <c r="N9" s="138">
        <f>+'PLAN RASHODA I IZDATAKA'!N3</f>
        <v>0</v>
      </c>
      <c r="O9" s="138">
        <f>+'PLAN RASHODA I IZDATAKA'!O3</f>
        <v>7200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866560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866560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306608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306608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10017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10017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3535000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3535000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6060012</v>
      </c>
      <c r="D23" s="204">
        <f>SUMIFS('Plan prihoda za unos u SAP'!$G$3:$G$501,'Plan prihoda za unos u SAP'!$C$3:$C$501,"=11",'Plan prihoda za unos u SAP'!$K$3:$K$501,"=671")</f>
        <v>6060012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10778197</v>
      </c>
      <c r="D26" s="4">
        <f t="shared" ref="D26:P26" si="6">SUM(D11:D25)</f>
        <v>6060012</v>
      </c>
      <c r="E26" s="4">
        <f t="shared" si="6"/>
        <v>0</v>
      </c>
      <c r="F26" s="4">
        <f t="shared" si="6"/>
        <v>3535000</v>
      </c>
      <c r="G26" s="4">
        <f t="shared" si="6"/>
        <v>10017</v>
      </c>
      <c r="H26" s="4">
        <f t="shared" si="6"/>
        <v>866560</v>
      </c>
      <c r="I26" s="4">
        <f t="shared" si="6"/>
        <v>306608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7200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7200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7200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7200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73" t="s">
        <v>339</v>
      </c>
      <c r="B37" s="273"/>
      <c r="C37" s="72">
        <f>SUM(D37:P37)</f>
        <v>10785397</v>
      </c>
      <c r="D37" s="72">
        <f t="shared" ref="D37:P37" si="9">+D36+D33+D26</f>
        <v>6060012</v>
      </c>
      <c r="E37" s="72">
        <f t="shared" si="9"/>
        <v>0</v>
      </c>
      <c r="F37" s="72">
        <f t="shared" si="9"/>
        <v>3535000</v>
      </c>
      <c r="G37" s="72">
        <f t="shared" si="9"/>
        <v>10017</v>
      </c>
      <c r="H37" s="72">
        <f t="shared" si="9"/>
        <v>866560</v>
      </c>
      <c r="I37" s="72">
        <f t="shared" si="9"/>
        <v>306608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0</v>
      </c>
      <c r="N37" s="72">
        <f t="shared" si="9"/>
        <v>0</v>
      </c>
      <c r="O37" s="72">
        <f t="shared" si="9"/>
        <v>7200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8" t="s">
        <v>292</v>
      </c>
      <c r="B39" s="269"/>
      <c r="C39" s="270" t="s">
        <v>54</v>
      </c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2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408397</v>
      </c>
      <c r="D41" s="203">
        <f t="shared" ref="D41:P41" si="11">-D7</f>
        <v>0</v>
      </c>
      <c r="E41" s="203">
        <f t="shared" si="11"/>
        <v>0</v>
      </c>
      <c r="F41" s="203">
        <f t="shared" si="11"/>
        <v>408397</v>
      </c>
      <c r="G41" s="203">
        <f t="shared" si="11"/>
        <v>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10686684</v>
      </c>
      <c r="D42" s="15">
        <f t="shared" ref="D42:P42" si="12">+D62+D69</f>
        <v>6280354</v>
      </c>
      <c r="E42" s="15">
        <f t="shared" si="12"/>
        <v>0</v>
      </c>
      <c r="F42" s="15">
        <f t="shared" si="12"/>
        <v>3735000</v>
      </c>
      <c r="G42" s="15">
        <f t="shared" si="12"/>
        <v>17691</v>
      </c>
      <c r="H42" s="15">
        <f t="shared" si="12"/>
        <v>646439</v>
      </c>
      <c r="I42" s="15">
        <f t="shared" si="12"/>
        <v>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0</v>
      </c>
      <c r="N42" s="15">
        <f t="shared" si="12"/>
        <v>0</v>
      </c>
      <c r="O42" s="15">
        <f t="shared" si="12"/>
        <v>7200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-555391</v>
      </c>
      <c r="D43" s="115"/>
      <c r="E43" s="115"/>
      <c r="F43" s="115">
        <v>-555391</v>
      </c>
      <c r="G43" s="115"/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10539690</v>
      </c>
      <c r="D44" s="15">
        <f>+D41+D42+D43</f>
        <v>6280354</v>
      </c>
      <c r="E44" s="15">
        <f t="shared" ref="E44:P44" si="13">+E41+E42+E43</f>
        <v>0</v>
      </c>
      <c r="F44" s="15">
        <f t="shared" si="13"/>
        <v>3588006</v>
      </c>
      <c r="G44" s="15">
        <f t="shared" si="13"/>
        <v>17691</v>
      </c>
      <c r="H44" s="15">
        <f t="shared" si="13"/>
        <v>646439</v>
      </c>
      <c r="I44" s="15">
        <f t="shared" si="13"/>
        <v>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0</v>
      </c>
      <c r="N44" s="15">
        <f t="shared" si="13"/>
        <v>0</v>
      </c>
      <c r="O44" s="15">
        <f t="shared" si="13"/>
        <v>7200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10539690</v>
      </c>
      <c r="D45" s="138">
        <f>+'PLAN RASHODA I IZDATAKA'!D71</f>
        <v>6280354</v>
      </c>
      <c r="E45" s="138">
        <f>+'PLAN RASHODA I IZDATAKA'!E71</f>
        <v>0</v>
      </c>
      <c r="F45" s="138">
        <f>+'PLAN RASHODA I IZDATAKA'!F71</f>
        <v>3588006</v>
      </c>
      <c r="G45" s="138">
        <f>+'PLAN RASHODA I IZDATAKA'!G71</f>
        <v>17691</v>
      </c>
      <c r="H45" s="138">
        <f>+'PLAN RASHODA I IZDATAKA'!H71</f>
        <v>646439</v>
      </c>
      <c r="I45" s="138">
        <f>+'PLAN RASHODA I IZDATAKA'!I71</f>
        <v>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0</v>
      </c>
      <c r="N45" s="138">
        <f>+'PLAN RASHODA I IZDATAKA'!N71</f>
        <v>0</v>
      </c>
      <c r="O45" s="138">
        <f>+'PLAN RASHODA I IZDATAKA'!O71</f>
        <v>7200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646439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646439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17691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17691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3735000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3735000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6280354</v>
      </c>
      <c r="D59" s="204">
        <f>SUMIFS('Plan prihoda za unos u SAP'!$H$3:$H$501,'Plan prihoda za unos u SAP'!$C$3:$C$501,"=11",'Plan prihoda za unos u SAP'!$K$3:$K$501,"=671")</f>
        <v>6280354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10679484</v>
      </c>
      <c r="D62" s="4">
        <f t="shared" ref="D62:P62" si="17">SUM(D47:D61)</f>
        <v>6280354</v>
      </c>
      <c r="E62" s="4">
        <f t="shared" si="17"/>
        <v>0</v>
      </c>
      <c r="F62" s="4">
        <f t="shared" si="17"/>
        <v>3735000</v>
      </c>
      <c r="G62" s="4">
        <f t="shared" si="17"/>
        <v>17691</v>
      </c>
      <c r="H62" s="4">
        <f t="shared" si="17"/>
        <v>646439</v>
      </c>
      <c r="I62" s="4">
        <f t="shared" si="17"/>
        <v>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7200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7200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7200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7200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73" t="s">
        <v>339</v>
      </c>
      <c r="B73" s="273"/>
      <c r="C73" s="72">
        <f>SUM(D73:P73)</f>
        <v>10686684</v>
      </c>
      <c r="D73" s="72">
        <f t="shared" ref="D73:P73" si="20">+D72+D69+D62</f>
        <v>6280354</v>
      </c>
      <c r="E73" s="72">
        <f t="shared" si="20"/>
        <v>0</v>
      </c>
      <c r="F73" s="72">
        <f t="shared" si="20"/>
        <v>3735000</v>
      </c>
      <c r="G73" s="72">
        <f t="shared" si="20"/>
        <v>17691</v>
      </c>
      <c r="H73" s="72">
        <f t="shared" si="20"/>
        <v>646439</v>
      </c>
      <c r="I73" s="72">
        <f t="shared" si="20"/>
        <v>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0</v>
      </c>
      <c r="N73" s="72">
        <f t="shared" si="20"/>
        <v>0</v>
      </c>
      <c r="O73" s="72">
        <f t="shared" si="20"/>
        <v>7200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8" t="s">
        <v>292</v>
      </c>
      <c r="B75" s="269"/>
      <c r="C75" s="270" t="s">
        <v>840</v>
      </c>
      <c r="D75" s="271"/>
      <c r="E75" s="271"/>
      <c r="F75" s="271"/>
      <c r="G75" s="271"/>
      <c r="H75" s="271"/>
      <c r="I75" s="271"/>
      <c r="J75" s="271"/>
      <c r="K75" s="271"/>
      <c r="L75" s="271"/>
      <c r="M75" s="271"/>
      <c r="N75" s="271"/>
      <c r="O75" s="271"/>
      <c r="P75" s="272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555391</v>
      </c>
      <c r="D77" s="203">
        <f t="shared" ref="D77:P77" si="22">-D43</f>
        <v>0</v>
      </c>
      <c r="E77" s="203">
        <f t="shared" si="22"/>
        <v>0</v>
      </c>
      <c r="F77" s="203">
        <f t="shared" si="22"/>
        <v>555391</v>
      </c>
      <c r="G77" s="203">
        <f t="shared" si="22"/>
        <v>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10303536</v>
      </c>
      <c r="D78" s="15">
        <f t="shared" ref="D78:P78" si="23">+D98+D105</f>
        <v>6343662</v>
      </c>
      <c r="E78" s="15">
        <f t="shared" si="23"/>
        <v>0</v>
      </c>
      <c r="F78" s="15">
        <f t="shared" si="23"/>
        <v>3935000</v>
      </c>
      <c r="G78" s="15">
        <f t="shared" si="23"/>
        <v>17674</v>
      </c>
      <c r="H78" s="15">
        <f t="shared" si="23"/>
        <v>0</v>
      </c>
      <c r="I78" s="15">
        <f t="shared" si="23"/>
        <v>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0</v>
      </c>
      <c r="N78" s="15">
        <f t="shared" si="23"/>
        <v>0</v>
      </c>
      <c r="O78" s="15">
        <f t="shared" si="23"/>
        <v>7200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-555391</v>
      </c>
      <c r="D79" s="115"/>
      <c r="E79" s="115"/>
      <c r="F79" s="115">
        <v>-555391</v>
      </c>
      <c r="G79" s="115"/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10303536</v>
      </c>
      <c r="D80" s="15">
        <f>+D77+D78+D79</f>
        <v>6343662</v>
      </c>
      <c r="E80" s="15">
        <f t="shared" ref="E80:P80" si="24">+E77+E78+E79</f>
        <v>0</v>
      </c>
      <c r="F80" s="15">
        <f t="shared" si="24"/>
        <v>3935000</v>
      </c>
      <c r="G80" s="15">
        <f t="shared" si="24"/>
        <v>17674</v>
      </c>
      <c r="H80" s="15">
        <f t="shared" si="24"/>
        <v>0</v>
      </c>
      <c r="I80" s="15">
        <f t="shared" si="24"/>
        <v>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0</v>
      </c>
      <c r="N80" s="15">
        <f t="shared" si="24"/>
        <v>0</v>
      </c>
      <c r="O80" s="15">
        <f t="shared" si="24"/>
        <v>7200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10303536</v>
      </c>
      <c r="D81" s="138">
        <f>+'PLAN RASHODA I IZDATAKA'!D91</f>
        <v>6343662</v>
      </c>
      <c r="E81" s="138">
        <f>+'PLAN RASHODA I IZDATAKA'!E91</f>
        <v>0</v>
      </c>
      <c r="F81" s="138">
        <f>+'PLAN RASHODA I IZDATAKA'!F91</f>
        <v>3935000</v>
      </c>
      <c r="G81" s="138">
        <f>+'PLAN RASHODA I IZDATAKA'!G91</f>
        <v>17674</v>
      </c>
      <c r="H81" s="138">
        <f>+'PLAN RASHODA I IZDATAKA'!H91</f>
        <v>0</v>
      </c>
      <c r="I81" s="138">
        <f>+'PLAN RASHODA I IZDATAKA'!I91</f>
        <v>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0</v>
      </c>
      <c r="N81" s="138">
        <f>+'PLAN RASHODA I IZDATAKA'!N91</f>
        <v>0</v>
      </c>
      <c r="O81" s="138">
        <f>+'PLAN RASHODA I IZDATAKA'!O91</f>
        <v>7200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17674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17674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3935000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3935000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6343662</v>
      </c>
      <c r="D95" s="204">
        <f>SUMIFS('Plan prihoda za unos u SAP'!$I$3:$I$501,'Plan prihoda za unos u SAP'!$C$3:$C$501,"=11",'Plan prihoda za unos u SAP'!$K$3:$K$501,"=671")</f>
        <v>6343662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10296336</v>
      </c>
      <c r="D98" s="4">
        <f t="shared" ref="D98:P98" si="28">SUM(D83:D97)</f>
        <v>6343662</v>
      </c>
      <c r="E98" s="4">
        <f t="shared" si="28"/>
        <v>0</v>
      </c>
      <c r="F98" s="4">
        <f t="shared" si="28"/>
        <v>3935000</v>
      </c>
      <c r="G98" s="4">
        <f t="shared" si="28"/>
        <v>17674</v>
      </c>
      <c r="H98" s="4">
        <f t="shared" si="28"/>
        <v>0</v>
      </c>
      <c r="I98" s="4">
        <f t="shared" si="28"/>
        <v>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7200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7200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7200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7200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73" t="s">
        <v>339</v>
      </c>
      <c r="B109" s="273"/>
      <c r="C109" s="72">
        <f>SUM(D109:P109)</f>
        <v>10303536</v>
      </c>
      <c r="D109" s="72">
        <f t="shared" ref="D109:P109" si="31">+D108+D105+D98</f>
        <v>6343662</v>
      </c>
      <c r="E109" s="72">
        <f t="shared" si="31"/>
        <v>0</v>
      </c>
      <c r="F109" s="72">
        <f t="shared" si="31"/>
        <v>3935000</v>
      </c>
      <c r="G109" s="72">
        <f t="shared" si="31"/>
        <v>17674</v>
      </c>
      <c r="H109" s="72">
        <f t="shared" si="31"/>
        <v>0</v>
      </c>
      <c r="I109" s="72">
        <f t="shared" si="31"/>
        <v>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0</v>
      </c>
      <c r="N109" s="72">
        <f t="shared" si="31"/>
        <v>0</v>
      </c>
      <c r="O109" s="72">
        <f t="shared" si="31"/>
        <v>7200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 xr:uid="{00000000-0002-0000-0300-000000000000}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 xr:uid="{00000000-0002-0000-0300-000001000000}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V3684"/>
  <sheetViews>
    <sheetView showGridLines="0" zoomScale="80" zoomScaleNormal="80" zoomScaleSheetLayoutView="80" workbookViewId="0">
      <pane xSplit="3" ySplit="3" topLeftCell="D70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5" t="s">
        <v>841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11327000</v>
      </c>
      <c r="D3" s="123">
        <f t="shared" ref="D3:P3" si="0">D4+D38+D58</f>
        <v>6060012</v>
      </c>
      <c r="E3" s="123">
        <f t="shared" si="0"/>
        <v>0</v>
      </c>
      <c r="F3" s="123">
        <f t="shared" si="0"/>
        <v>4076603</v>
      </c>
      <c r="G3" s="123">
        <f t="shared" si="0"/>
        <v>10017</v>
      </c>
      <c r="H3" s="123">
        <f t="shared" si="0"/>
        <v>866560</v>
      </c>
      <c r="I3" s="123">
        <f t="shared" si="0"/>
        <v>306608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0</v>
      </c>
      <c r="N3" s="123">
        <f t="shared" si="0"/>
        <v>0</v>
      </c>
      <c r="O3" s="123">
        <f t="shared" si="0"/>
        <v>7200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11120800</v>
      </c>
      <c r="D4" s="127">
        <f>D5+D9+D15+D19+D23+D30+D33</f>
        <v>5921012</v>
      </c>
      <c r="E4" s="127">
        <f t="shared" ref="E4:P4" si="1">E5+E9+E15+E19+E23+E30+E33</f>
        <v>0</v>
      </c>
      <c r="F4" s="127">
        <f t="shared" si="1"/>
        <v>4016603</v>
      </c>
      <c r="G4" s="127">
        <f t="shared" si="1"/>
        <v>10017</v>
      </c>
      <c r="H4" s="127">
        <f t="shared" si="1"/>
        <v>866560</v>
      </c>
      <c r="I4" s="127">
        <f t="shared" si="1"/>
        <v>306608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6089508</v>
      </c>
      <c r="D5" s="13">
        <f>SUM(D6:D8)</f>
        <v>5153906</v>
      </c>
      <c r="E5" s="13">
        <f t="shared" ref="E5:P5" si="3">SUM(E6:E8)</f>
        <v>0</v>
      </c>
      <c r="F5" s="13">
        <f t="shared" si="3"/>
        <v>349500</v>
      </c>
      <c r="G5" s="13">
        <f t="shared" si="3"/>
        <v>0</v>
      </c>
      <c r="H5" s="13">
        <f t="shared" si="3"/>
        <v>586102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5145158</v>
      </c>
      <c r="D6" s="143">
        <f>SUMIFS('Plan rashoda za unos u SAP'!$I$3:$I$501,'Plan rashoda za unos u SAP'!$C$3:$C$501,"=11",'Plan rashoda za unos u SAP'!$M$3:$M$501,"=311")</f>
        <v>4342067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300000</v>
      </c>
      <c r="G6" s="143">
        <f>SUMIFS('Plan rashoda za unos u SAP'!$I$3:$I$501,'Plan rashoda za unos u SAP'!$C$3:$C$501,"=43",'Plan rashoda za unos u SAP'!$M$3:$M$501,"=311")</f>
        <v>0</v>
      </c>
      <c r="H6" s="143">
        <f>SUMIFS('Plan rashoda za unos u SAP'!$I$3:$I$501,'Plan rashoda za unos u SAP'!$C$3:$C$501,"=51",'Plan rashoda za unos u SAP'!$M$3:$M$501,"=311")</f>
        <v>503091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110589</v>
      </c>
      <c r="D7" s="143">
        <f>SUMIFS('Plan rashoda za unos u SAP'!$I$3:$I$501,'Plan rashoda za unos u SAP'!$C$3:$C$501,"=11",'Plan rashoda za unos u SAP'!$M$3:$M$501,"=312")</f>
        <v>110589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0</v>
      </c>
      <c r="G7" s="143">
        <f>SUMIFS('Plan rashoda za unos u SAP'!$I$3:$I$501,'Plan rashoda za unos u SAP'!$C$3:$C$501,"=43",'Plan rashoda za unos u SAP'!$M$3:$M$501,"=312")</f>
        <v>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833761</v>
      </c>
      <c r="D8" s="143">
        <f>SUMIFS('Plan rashoda za unos u SAP'!$I$3:$I$501,'Plan rashoda za unos u SAP'!$C$3:$C$501,"=11",'Plan rashoda za unos u SAP'!$M$3:$M$501,"=313")</f>
        <v>701250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49500</v>
      </c>
      <c r="G8" s="143">
        <f>SUMIFS('Plan rashoda za unos u SAP'!$I$3:$I$501,'Plan rashoda za unos u SAP'!$C$3:$C$501,"=43",'Plan rashoda za unos u SAP'!$M$3:$M$501,"=313")</f>
        <v>0</v>
      </c>
      <c r="H8" s="143">
        <f>SUMIFS('Plan rashoda za unos u SAP'!$I$3:$I$501,'Plan rashoda za unos u SAP'!$C$3:$C$501,"=51",'Plan rashoda za unos u SAP'!$M$3:$M$501,"=313")</f>
        <v>83011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5002440</v>
      </c>
      <c r="D9" s="79">
        <f t="shared" ref="D9:P9" si="4">SUM(D10:D14)</f>
        <v>763803</v>
      </c>
      <c r="E9" s="79">
        <f t="shared" si="4"/>
        <v>0</v>
      </c>
      <c r="F9" s="79">
        <f t="shared" si="4"/>
        <v>3644563</v>
      </c>
      <c r="G9" s="79">
        <f t="shared" si="4"/>
        <v>10017</v>
      </c>
      <c r="H9" s="79">
        <f t="shared" si="4"/>
        <v>280458</v>
      </c>
      <c r="I9" s="79">
        <f t="shared" si="4"/>
        <v>303599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1023835</v>
      </c>
      <c r="D10" s="143">
        <f>SUMIFS('Plan rashoda za unos u SAP'!$I$3:$I$501,'Plan rashoda za unos u SAP'!$C$3:$C$501,"=11",'Plan rashoda za unos u SAP'!$M$3:$M$501,"=321")</f>
        <v>286616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643000</v>
      </c>
      <c r="G10" s="143">
        <f>SUMIFS('Plan rashoda za unos u SAP'!$I$3:$I$501,'Plan rashoda za unos u SAP'!$C$3:$C$501,"=43",'Plan rashoda za unos u SAP'!$M$3:$M$501,"=321")</f>
        <v>7674</v>
      </c>
      <c r="H10" s="143">
        <f>SUMIFS('Plan rashoda za unos u SAP'!$I$3:$I$501,'Plan rashoda za unos u SAP'!$C$3:$C$501,"=51",'Plan rashoda za unos u SAP'!$M$3:$M$501,"=321")</f>
        <v>58519</v>
      </c>
      <c r="I10" s="143">
        <f>SUMIFS('Plan rashoda za unos u SAP'!$I$3:$I$501,'Plan rashoda za unos u SAP'!$C$3:$C$501,"=52",'Plan rashoda za unos u SAP'!$M$3:$M$501,"=321")</f>
        <v>28026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330856</v>
      </c>
      <c r="D11" s="143">
        <f>SUMIFS('Plan rashoda za unos u SAP'!$I$3:$I$501,'Plan rashoda za unos u SAP'!$C$3:$C$501,"=11",'Plan rashoda za unos u SAP'!$M$3:$M$501,"=322")</f>
        <v>158000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164063</v>
      </c>
      <c r="G11" s="143">
        <f>SUMIFS('Plan rashoda za unos u SAP'!$I$3:$I$501,'Plan rashoda za unos u SAP'!$C$3:$C$501,"=43",'Plan rashoda za unos u SAP'!$M$3:$M$501,"=322")</f>
        <v>2343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6450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3507549</v>
      </c>
      <c r="D12" s="143">
        <f>SUMIFS('Plan rashoda za unos u SAP'!$I$3:$I$501,'Plan rashoda za unos u SAP'!$C$3:$C$501,"=11",'Plan rashoda za unos u SAP'!$M$3:$M$501,"=323")</f>
        <v>265787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2754700</v>
      </c>
      <c r="G12" s="143">
        <f>SUMIFS('Plan rashoda za unos u SAP'!$I$3:$I$501,'Plan rashoda za unos u SAP'!$C$3:$C$501,"=43",'Plan rashoda za unos u SAP'!$M$3:$M$501,"=323")</f>
        <v>0</v>
      </c>
      <c r="H12" s="143">
        <f>SUMIFS('Plan rashoda za unos u SAP'!$I$3:$I$501,'Plan rashoda za unos u SAP'!$C$3:$C$501,"=51",'Plan rashoda za unos u SAP'!$M$3:$M$501,"=323")</f>
        <v>221939</v>
      </c>
      <c r="I12" s="143">
        <f>SUMIFS('Plan rashoda za unos u SAP'!$I$3:$I$501,'Plan rashoda za unos u SAP'!$C$3:$C$501,"=52",'Plan rashoda za unos u SAP'!$M$3:$M$501,"=323")</f>
        <v>265123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10800</v>
      </c>
      <c r="D13" s="143">
        <f>SUMIFS('Plan rashoda za unos u SAP'!$I$3:$I$501,'Plan rashoda za unos u SAP'!$C$3:$C$501,"=11",'Plan rashoda za unos u SAP'!$M$3:$M$501,"=324")</f>
        <v>8000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2800</v>
      </c>
      <c r="G13" s="143">
        <f>SUMIFS('Plan rashoda za unos u SAP'!$I$3:$I$501,'Plan rashoda za unos u SAP'!$C$3:$C$501,"=43",'Plan rashoda za unos u SAP'!$M$3:$M$501,"=324")</f>
        <v>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129400</v>
      </c>
      <c r="D14" s="143">
        <f>SUMIFS('Plan rashoda za unos u SAP'!$I$3:$I$501,'Plan rashoda za unos u SAP'!$C$3:$C$501,"=11",'Plan rashoda za unos u SAP'!$M$3:$M$501,"=329")</f>
        <v>45400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80000</v>
      </c>
      <c r="G14" s="143">
        <f>SUMIFS('Plan rashoda za unos u SAP'!$I$3:$I$501,'Plan rashoda za unos u SAP'!$C$3:$C$501,"=43",'Plan rashoda za unos u SAP'!$M$3:$M$501,"=329")</f>
        <v>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4000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19352</v>
      </c>
      <c r="D15" s="4">
        <f t="shared" ref="D15:P15" si="5">SUM(D16:D18)</f>
        <v>3303</v>
      </c>
      <c r="E15" s="4">
        <f t="shared" si="5"/>
        <v>0</v>
      </c>
      <c r="F15" s="4">
        <f t="shared" si="5"/>
        <v>13040</v>
      </c>
      <c r="G15" s="4">
        <f t="shared" si="5"/>
        <v>0</v>
      </c>
      <c r="H15" s="4">
        <f t="shared" si="5"/>
        <v>0</v>
      </c>
      <c r="I15" s="4">
        <f t="shared" si="5"/>
        <v>3009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19352</v>
      </c>
      <c r="D18" s="143">
        <f>SUMIFS('Plan rashoda za unos u SAP'!$I$3:$I$501,'Plan rashoda za unos u SAP'!$C$3:$C$501,"=11",'Plan rashoda za unos u SAP'!$M$3:$M$501,"=343")</f>
        <v>3303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13040</v>
      </c>
      <c r="G18" s="143">
        <f>SUMIFS('Plan rashoda za unos u SAP'!$I$3:$I$501,'Plan rashoda za unos u SAP'!$C$3:$C$501,"=43",'Plan rashoda za unos u SAP'!$M$3:$M$501,"=343")</f>
        <v>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3009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9500</v>
      </c>
      <c r="D30" s="4">
        <f t="shared" ref="D30:P30" si="8">SUM(D31:D32)</f>
        <v>0</v>
      </c>
      <c r="E30" s="4">
        <f t="shared" si="8"/>
        <v>0</v>
      </c>
      <c r="F30" s="4">
        <f t="shared" si="8"/>
        <v>9500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9500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9500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206200</v>
      </c>
      <c r="D38" s="128">
        <f>D42+D49+D51+D53+D39</f>
        <v>139000</v>
      </c>
      <c r="E38" s="128">
        <f t="shared" ref="E38:P38" si="10">E42+E49+E51+E53+E39</f>
        <v>0</v>
      </c>
      <c r="F38" s="128">
        <f t="shared" si="10"/>
        <v>60000</v>
      </c>
      <c r="G38" s="128">
        <f t="shared" si="10"/>
        <v>0</v>
      </c>
      <c r="H38" s="128">
        <f t="shared" si="10"/>
        <v>0</v>
      </c>
      <c r="I38" s="128">
        <f t="shared" si="10"/>
        <v>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7200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206200</v>
      </c>
      <c r="D42" s="4">
        <f t="shared" ref="D42:P42" si="12">SUM(D43:D48)</f>
        <v>139000</v>
      </c>
      <c r="E42" s="4">
        <f t="shared" si="12"/>
        <v>0</v>
      </c>
      <c r="F42" s="4">
        <f t="shared" si="12"/>
        <v>60000</v>
      </c>
      <c r="G42" s="4">
        <f t="shared" si="12"/>
        <v>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7200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187200</v>
      </c>
      <c r="D44" s="143">
        <f>SUMIFS('Plan rashoda za unos u SAP'!$I$3:$I$501,'Plan rashoda za unos u SAP'!$C$3:$C$501,"=11",'Plan rashoda za unos u SAP'!$M$3:$M$501,"=422")</f>
        <v>130000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50000</v>
      </c>
      <c r="G44" s="143">
        <f>SUMIFS('Plan rashoda za unos u SAP'!$I$3:$I$501,'Plan rashoda za unos u SAP'!$C$3:$C$501,"=43",'Plan rashoda za unos u SAP'!$M$3:$M$501,"=422")</f>
        <v>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7200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19000</v>
      </c>
      <c r="D48" s="143">
        <f>SUMIFS('Plan rashoda za unos u SAP'!$I$3:$I$501,'Plan rashoda za unos u SAP'!$C$3:$C$501,"=11",'Plan rashoda za unos u SAP'!$M$3:$M$501,"=426")</f>
        <v>9000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10000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10539690</v>
      </c>
      <c r="D71" s="123">
        <f t="shared" ref="D71:P71" si="21">+D72+D80+D86</f>
        <v>6280354</v>
      </c>
      <c r="E71" s="123">
        <f t="shared" si="21"/>
        <v>0</v>
      </c>
      <c r="F71" s="123">
        <f t="shared" si="21"/>
        <v>3588006</v>
      </c>
      <c r="G71" s="123">
        <f t="shared" si="21"/>
        <v>17691</v>
      </c>
      <c r="H71" s="123">
        <f t="shared" si="21"/>
        <v>646439</v>
      </c>
      <c r="I71" s="123">
        <f t="shared" si="21"/>
        <v>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0</v>
      </c>
      <c r="N71" s="123">
        <f t="shared" si="21"/>
        <v>0</v>
      </c>
      <c r="O71" s="123">
        <f t="shared" si="21"/>
        <v>7200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10439729</v>
      </c>
      <c r="D72" s="132">
        <f t="shared" ref="D72:P72" si="22">SUM(D73:D79)</f>
        <v>6211093</v>
      </c>
      <c r="E72" s="132">
        <f t="shared" si="22"/>
        <v>0</v>
      </c>
      <c r="F72" s="132">
        <f t="shared" si="22"/>
        <v>3564506</v>
      </c>
      <c r="G72" s="132">
        <f t="shared" si="22"/>
        <v>17691</v>
      </c>
      <c r="H72" s="132">
        <f t="shared" si="22"/>
        <v>646439</v>
      </c>
      <c r="I72" s="132">
        <f t="shared" si="22"/>
        <v>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6163419</v>
      </c>
      <c r="D73" s="143">
        <f>SUMIFS('Plan rashoda za unos u SAP'!$J$3:$J$501,'Plan rashoda za unos u SAP'!$C$3:$C$501,"=11",'Plan rashoda za unos u SAP'!$N$3:$N$501,"=31")</f>
        <v>5345087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407750</v>
      </c>
      <c r="G73" s="143">
        <f>SUMIFS('Plan rashoda za unos u SAP'!$J$3:$J$501,'Plan rashoda za unos u SAP'!$C$3:$C$501,"=43",'Plan rashoda za unos u SAP'!$N$3:$N$501,"=31")</f>
        <v>0</v>
      </c>
      <c r="H73" s="143">
        <f>SUMIFS('Plan rashoda za unos u SAP'!$J$3:$J$501,'Plan rashoda za unos u SAP'!$C$3:$C$501,"=51",'Plan rashoda za unos u SAP'!$N$3:$N$501,"=31")</f>
        <v>410582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4250467</v>
      </c>
      <c r="D74" s="143">
        <f>SUMIFS('Plan rashoda za unos u SAP'!$J$3:$J$501,'Plan rashoda za unos u SAP'!$C$3:$C$501,"=11",'Plan rashoda za unos u SAP'!$N$3:$N$501,"=32")</f>
        <v>862703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3134216</v>
      </c>
      <c r="G74" s="143">
        <f>SUMIFS('Plan rashoda za unos u SAP'!$J$3:$J$501,'Plan rashoda za unos u SAP'!$C$3:$C$501,"=43",'Plan rashoda za unos u SAP'!$N$3:$N$501,"=32")</f>
        <v>17691</v>
      </c>
      <c r="H74" s="143">
        <f>SUMIFS('Plan rashoda za unos u SAP'!$J$3:$J$501,'Plan rashoda za unos u SAP'!$C$3:$C$501,"=51",'Plan rashoda za unos u SAP'!$N$3:$N$501,"=32")</f>
        <v>235857</v>
      </c>
      <c r="I74" s="143">
        <f>SUMIFS('Plan rashoda za unos u SAP'!$J$3:$J$501,'Plan rashoda za unos u SAP'!$C$3:$C$501,"=52",'Plan rashoda za unos u SAP'!$N$3:$N$501,"=32")</f>
        <v>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16343</v>
      </c>
      <c r="D75" s="143">
        <f>SUMIFS('Plan rashoda za unos u SAP'!$J$3:$J$501,'Plan rashoda za unos u SAP'!$C$3:$C$501,"=11",'Plan rashoda za unos u SAP'!$N$3:$N$501,"=34")</f>
        <v>3303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13040</v>
      </c>
      <c r="G75" s="143">
        <f>SUMIFS('Plan rashoda za unos u SAP'!$J$3:$J$501,'Plan rashoda za unos u SAP'!$C$3:$C$501,"=43",'Plan rashoda za unos u SAP'!$N$3:$N$501,"=34")</f>
        <v>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9500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9500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99961</v>
      </c>
      <c r="D80" s="133">
        <f t="shared" ref="D80:P80" si="24">SUM(D81:D85)</f>
        <v>69261</v>
      </c>
      <c r="E80" s="133">
        <f t="shared" si="24"/>
        <v>0</v>
      </c>
      <c r="F80" s="133">
        <f t="shared" si="24"/>
        <v>23500</v>
      </c>
      <c r="G80" s="133">
        <f t="shared" si="24"/>
        <v>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7200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99961</v>
      </c>
      <c r="D82" s="143">
        <f>SUMIFS('Plan rashoda za unos u SAP'!$J$3:$J$501,'Plan rashoda za unos u SAP'!$C$3:$C$501,"=11",'Plan rashoda za unos u SAP'!$N$3:$N$501,"=42")</f>
        <v>69261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23500</v>
      </c>
      <c r="G82" s="143">
        <f>SUMIFS('Plan rashoda za unos u SAP'!$J$3:$J$501,'Plan rashoda za unos u SAP'!$C$3:$C$501,"=43",'Plan rashoda za unos u SAP'!$N$3:$N$501,"=42")</f>
        <v>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7200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10303536</v>
      </c>
      <c r="D91" s="123">
        <f t="shared" ref="D91:P91" si="27">D92+D100+D106</f>
        <v>6343662</v>
      </c>
      <c r="E91" s="123">
        <f t="shared" si="27"/>
        <v>0</v>
      </c>
      <c r="F91" s="123">
        <f t="shared" si="27"/>
        <v>3935000</v>
      </c>
      <c r="G91" s="123">
        <f t="shared" si="27"/>
        <v>17674</v>
      </c>
      <c r="H91" s="123">
        <f t="shared" si="27"/>
        <v>0</v>
      </c>
      <c r="I91" s="123">
        <f t="shared" si="27"/>
        <v>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0</v>
      </c>
      <c r="N91" s="123">
        <f t="shared" si="27"/>
        <v>0</v>
      </c>
      <c r="O91" s="123">
        <f t="shared" si="27"/>
        <v>7200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10177336</v>
      </c>
      <c r="D92" s="132">
        <f t="shared" ref="D92:P92" si="28">SUM(D93:D99)</f>
        <v>6284662</v>
      </c>
      <c r="E92" s="132">
        <f t="shared" si="28"/>
        <v>0</v>
      </c>
      <c r="F92" s="132">
        <f t="shared" si="28"/>
        <v>3875000</v>
      </c>
      <c r="G92" s="132">
        <f t="shared" si="28"/>
        <v>17674</v>
      </c>
      <c r="H92" s="132">
        <f t="shared" si="28"/>
        <v>0</v>
      </c>
      <c r="I92" s="132">
        <f t="shared" si="28"/>
        <v>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5754867</v>
      </c>
      <c r="D93" s="143">
        <f>SUMIFS('Plan rashoda za unos u SAP'!$K$3:$K$501,'Plan rashoda za unos u SAP'!$C$3:$C$501,"=11",'Plan rashoda za unos u SAP'!$N$3:$N$501,"=31")</f>
        <v>5347117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407750</v>
      </c>
      <c r="G93" s="143">
        <f>SUMIFS('Plan rashoda za unos u SAP'!$K$3:$K$501,'Plan rashoda za unos u SAP'!$C$3:$C$501,"=43",'Plan rashoda za unos u SAP'!$N$3:$N$501,"=31")</f>
        <v>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4396626</v>
      </c>
      <c r="D94" s="143">
        <f>SUMIFS('Plan rashoda za unos u SAP'!$K$3:$K$501,'Plan rashoda za unos u SAP'!$C$3:$C$501,"=11",'Plan rashoda za unos u SAP'!$N$3:$N$501,"=32")</f>
        <v>934242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3444710</v>
      </c>
      <c r="G94" s="143">
        <f>SUMIFS('Plan rashoda za unos u SAP'!$K$3:$K$501,'Plan rashoda za unos u SAP'!$C$3:$C$501,"=43",'Plan rashoda za unos u SAP'!$N$3:$N$501,"=32")</f>
        <v>17674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16343</v>
      </c>
      <c r="D95" s="143">
        <f>SUMIFS('Plan rashoda za unos u SAP'!$K$3:$K$501,'Plan rashoda za unos u SAP'!$C$3:$C$501,"=11",'Plan rashoda za unos u SAP'!$N$3:$N$501,"=34")</f>
        <v>3303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13040</v>
      </c>
      <c r="G95" s="143">
        <f>SUMIFS('Plan rashoda za unos u SAP'!$K$3:$K$501,'Plan rashoda za unos u SAP'!$C$3:$C$501,"=43",'Plan rashoda za unos u SAP'!$N$3:$N$501,"=34")</f>
        <v>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9500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9500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126200</v>
      </c>
      <c r="D100" s="133">
        <f t="shared" ref="D100:P100" si="30">SUM(D101:D105)</f>
        <v>59000</v>
      </c>
      <c r="E100" s="133">
        <f t="shared" si="30"/>
        <v>0</v>
      </c>
      <c r="F100" s="133">
        <f t="shared" si="30"/>
        <v>60000</v>
      </c>
      <c r="G100" s="133">
        <f t="shared" si="30"/>
        <v>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7200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126200</v>
      </c>
      <c r="D102" s="143">
        <f>SUMIFS('Plan rashoda za unos u SAP'!$K$3:$K$501,'Plan rashoda za unos u SAP'!$C$3:$C$501,"=11",'Plan rashoda za unos u SAP'!$N$3:$N$501,"=42")</f>
        <v>59000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60000</v>
      </c>
      <c r="G102" s="143">
        <f>SUMIFS('Plan rashoda za unos u SAP'!$K$3:$K$501,'Plan rashoda za unos u SAP'!$C$3:$C$501,"=43",'Plan rashoda za unos u SAP'!$N$3:$N$501,"=42")</f>
        <v>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7200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 xr:uid="{00000000-0009-0000-0000-000004000000}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8" t="s">
        <v>240</v>
      </c>
      <c r="B10" s="280" t="s">
        <v>241</v>
      </c>
      <c r="C10" s="280" t="s">
        <v>242</v>
      </c>
      <c r="D10" s="283" t="s">
        <v>243</v>
      </c>
      <c r="E10" s="276" t="s">
        <v>853</v>
      </c>
      <c r="F10" s="276" t="s">
        <v>244</v>
      </c>
      <c r="G10" s="276" t="s">
        <v>245</v>
      </c>
      <c r="H10" s="276" t="s">
        <v>854</v>
      </c>
    </row>
    <row r="11" spans="1:8" ht="15.75" thickBot="1">
      <c r="A11" s="279"/>
      <c r="B11" s="281"/>
      <c r="C11" s="282"/>
      <c r="D11" s="284"/>
      <c r="E11" s="285"/>
      <c r="F11" s="277"/>
      <c r="G11" s="277"/>
      <c r="H11" s="277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B502"/>
  <sheetViews>
    <sheetView showGridLines="0" topLeftCell="A13" zoomScaleNormal="100" workbookViewId="0">
      <selection activeCell="H19" sqref="H19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6" t="s">
        <v>855</v>
      </c>
      <c r="B1" s="286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 ht="192">
      <c r="A3" s="154">
        <v>52</v>
      </c>
      <c r="B3" s="149" t="str">
        <f>IFERROR(VLOOKUP(A3,$R$6:$S$16,2,FALSE),"")</f>
        <v>Ostale pomoći</v>
      </c>
      <c r="C3" s="154">
        <v>3211</v>
      </c>
      <c r="D3" s="149" t="str">
        <f t="shared" ref="D3:D66" si="0">IFERROR(VLOOKUP(C3,$U$5:$W$129,2,FALSE),"")</f>
        <v>Službena putovanja</v>
      </c>
      <c r="E3" s="201" t="s">
        <v>1265</v>
      </c>
      <c r="F3" s="149" t="str">
        <f>IFERROR(VLOOKUP(E3,$AA$6:$AB$200,2,FALSE),"")</f>
        <v>ERASMUS + SeasonREADY Obrazovanje za sezonske turističke djelatnike</v>
      </c>
      <c r="G3" s="198">
        <v>28026</v>
      </c>
      <c r="H3" s="198"/>
      <c r="I3" s="198"/>
      <c r="J3" s="226"/>
      <c r="K3" s="225">
        <v>42979</v>
      </c>
      <c r="L3" s="225">
        <v>43830</v>
      </c>
      <c r="M3" s="226" t="s">
        <v>1669</v>
      </c>
      <c r="N3" s="252" t="s">
        <v>1670</v>
      </c>
      <c r="P3" s="144" t="str">
        <f>LEFT(C3,3)</f>
        <v>321</v>
      </c>
      <c r="Q3" s="144" t="str">
        <f>LEFT(C3,2)</f>
        <v>32</v>
      </c>
    </row>
    <row r="4" spans="1:28">
      <c r="A4" s="154">
        <v>52</v>
      </c>
      <c r="B4" s="149" t="str">
        <f t="shared" ref="B4:B67" si="1">IFERROR(VLOOKUP(A4,$R$6:$S$16,2,FALSE),"")</f>
        <v>Ostale pomoći</v>
      </c>
      <c r="C4" s="154">
        <v>3221</v>
      </c>
      <c r="D4" s="149" t="str">
        <f t="shared" si="0"/>
        <v>Uredski materijal i ostali materijalni rashodi</v>
      </c>
      <c r="E4" s="201" t="s">
        <v>1265</v>
      </c>
      <c r="F4" s="149" t="str">
        <f t="shared" ref="F4:F67" si="2">IFERROR(VLOOKUP(E4,$AA$6:$AB$200,2,FALSE),"")</f>
        <v>ERASMUS + SeasonREADY Obrazovanje za sezonske turističke djelatnike</v>
      </c>
      <c r="G4" s="198">
        <v>6450</v>
      </c>
      <c r="H4" s="198"/>
      <c r="I4" s="198"/>
      <c r="J4" s="226"/>
      <c r="K4" s="225">
        <v>43709</v>
      </c>
      <c r="L4" s="225">
        <v>43830</v>
      </c>
      <c r="M4" s="226" t="s">
        <v>1669</v>
      </c>
      <c r="N4" s="226"/>
      <c r="P4" s="144" t="str">
        <f t="shared" ref="P4:P67" si="3">LEFT(C4,3)</f>
        <v>322</v>
      </c>
      <c r="Q4" s="144" t="str">
        <f t="shared" ref="Q4:Q67" si="4">LEFT(C4,2)</f>
        <v>32</v>
      </c>
      <c r="U4" s="150"/>
      <c r="V4" s="150"/>
    </row>
    <row r="5" spans="1:28">
      <c r="A5" s="154">
        <v>52</v>
      </c>
      <c r="B5" s="149" t="str">
        <f t="shared" si="1"/>
        <v>Ostale pomoći</v>
      </c>
      <c r="C5" s="154">
        <v>3235</v>
      </c>
      <c r="D5" s="149" t="str">
        <f t="shared" si="0"/>
        <v>Zakupnine i najamnine</v>
      </c>
      <c r="E5" s="201" t="s">
        <v>1265</v>
      </c>
      <c r="F5" s="149" t="str">
        <f t="shared" si="2"/>
        <v>ERASMUS + SeasonREADY Obrazovanje za sezonske turističke djelatnike</v>
      </c>
      <c r="G5" s="198">
        <v>5000</v>
      </c>
      <c r="H5" s="198"/>
      <c r="I5" s="198"/>
      <c r="J5" s="226"/>
      <c r="K5" s="225">
        <v>43709</v>
      </c>
      <c r="L5" s="225">
        <v>43830</v>
      </c>
      <c r="M5" s="226" t="s">
        <v>1669</v>
      </c>
      <c r="N5" s="226"/>
      <c r="P5" s="144" t="str">
        <f t="shared" si="3"/>
        <v>323</v>
      </c>
      <c r="Q5" s="144" t="str">
        <f t="shared" si="4"/>
        <v>32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52</v>
      </c>
      <c r="B6" s="149" t="str">
        <f t="shared" si="1"/>
        <v>Ostale pomoći</v>
      </c>
      <c r="C6" s="154">
        <v>3237</v>
      </c>
      <c r="D6" s="149" t="str">
        <f t="shared" si="0"/>
        <v>Intelektualne i osobne usluge</v>
      </c>
      <c r="E6" s="201" t="s">
        <v>1265</v>
      </c>
      <c r="F6" s="149" t="str">
        <f t="shared" si="2"/>
        <v>ERASMUS + SeasonREADY Obrazovanje za sezonske turističke djelatnike</v>
      </c>
      <c r="G6" s="198">
        <v>260123</v>
      </c>
      <c r="H6" s="198"/>
      <c r="I6" s="198"/>
      <c r="J6" s="226"/>
      <c r="K6" s="225">
        <v>43709</v>
      </c>
      <c r="L6" s="225">
        <v>43830</v>
      </c>
      <c r="M6" s="226" t="s">
        <v>1669</v>
      </c>
      <c r="N6" s="226"/>
      <c r="P6" s="144" t="str">
        <f t="shared" si="3"/>
        <v>323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52</v>
      </c>
      <c r="B7" s="149" t="str">
        <f t="shared" si="1"/>
        <v>Ostale pomoći</v>
      </c>
      <c r="C7" s="154">
        <v>3293</v>
      </c>
      <c r="D7" s="149" t="str">
        <f t="shared" si="0"/>
        <v>Reprezentacija</v>
      </c>
      <c r="E7" s="201" t="s">
        <v>1265</v>
      </c>
      <c r="F7" s="149" t="str">
        <f t="shared" si="2"/>
        <v>ERASMUS + SeasonREADY Obrazovanje za sezonske turističke djelatnike</v>
      </c>
      <c r="G7" s="198">
        <v>4000</v>
      </c>
      <c r="H7" s="198"/>
      <c r="I7" s="198"/>
      <c r="J7" s="226"/>
      <c r="K7" s="225">
        <v>43709</v>
      </c>
      <c r="L7" s="225">
        <v>43830</v>
      </c>
      <c r="M7" s="226" t="s">
        <v>1669</v>
      </c>
      <c r="N7" s="226"/>
      <c r="P7" s="144" t="str">
        <f t="shared" si="3"/>
        <v>329</v>
      </c>
      <c r="Q7" s="144" t="str">
        <f t="shared" si="4"/>
        <v>32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52</v>
      </c>
      <c r="B8" s="149" t="str">
        <f t="shared" si="1"/>
        <v>Ostale pomoći</v>
      </c>
      <c r="C8" s="154">
        <v>3431</v>
      </c>
      <c r="D8" s="149" t="str">
        <f t="shared" si="0"/>
        <v>Bankarske usluge i usluge platnog prometa</v>
      </c>
      <c r="E8" s="201" t="s">
        <v>1265</v>
      </c>
      <c r="F8" s="149" t="str">
        <f t="shared" si="2"/>
        <v>ERASMUS + SeasonREADY Obrazovanje za sezonske turističke djelatnike</v>
      </c>
      <c r="G8" s="198">
        <v>550</v>
      </c>
      <c r="H8" s="198"/>
      <c r="I8" s="198"/>
      <c r="J8" s="226"/>
      <c r="K8" s="225">
        <v>43709</v>
      </c>
      <c r="L8" s="225">
        <v>43830</v>
      </c>
      <c r="M8" s="226" t="s">
        <v>1669</v>
      </c>
      <c r="N8" s="226"/>
      <c r="P8" s="144" t="str">
        <f t="shared" si="3"/>
        <v>343</v>
      </c>
      <c r="Q8" s="144" t="str">
        <f t="shared" si="4"/>
        <v>34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52</v>
      </c>
      <c r="B9" s="149" t="str">
        <f t="shared" si="1"/>
        <v>Ostale pomoći</v>
      </c>
      <c r="C9" s="154">
        <v>3432</v>
      </c>
      <c r="D9" s="149" t="str">
        <f t="shared" si="0"/>
        <v>Negativne tečajne razlike i razlike zbog primjene valutne kl</v>
      </c>
      <c r="E9" s="201" t="s">
        <v>1265</v>
      </c>
      <c r="F9" s="149" t="str">
        <f t="shared" si="2"/>
        <v>ERASMUS + SeasonREADY Obrazovanje za sezonske turističke djelatnike</v>
      </c>
      <c r="G9" s="198">
        <v>2459</v>
      </c>
      <c r="H9" s="198"/>
      <c r="I9" s="198"/>
      <c r="J9" s="226"/>
      <c r="K9" s="225">
        <v>43709</v>
      </c>
      <c r="L9" s="225">
        <v>43830</v>
      </c>
      <c r="M9" s="226" t="s">
        <v>1669</v>
      </c>
      <c r="N9" s="226"/>
      <c r="P9" s="144" t="str">
        <f t="shared" si="3"/>
        <v>343</v>
      </c>
      <c r="Q9" s="144" t="str">
        <f t="shared" si="4"/>
        <v>34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 ht="202.5">
      <c r="A10" s="154">
        <v>51</v>
      </c>
      <c r="B10" s="149" t="str">
        <f t="shared" si="1"/>
        <v>Pomoći EU</v>
      </c>
      <c r="C10" s="154">
        <v>3211</v>
      </c>
      <c r="D10" s="149" t="str">
        <f t="shared" si="0"/>
        <v>Službena putovanja</v>
      </c>
      <c r="E10" s="201" t="s">
        <v>1269</v>
      </c>
      <c r="F10" s="149" t="str">
        <f t="shared" si="2"/>
        <v>ERASMUS+ SPECHALE  SPEcialisti za kulturnu baštinu i atraktivno životno okruženje</v>
      </c>
      <c r="G10" s="198">
        <v>17250</v>
      </c>
      <c r="H10" s="198">
        <v>8625</v>
      </c>
      <c r="I10" s="198"/>
      <c r="J10" s="226"/>
      <c r="K10" s="225"/>
      <c r="L10" s="225"/>
      <c r="M10" s="226" t="s">
        <v>1677</v>
      </c>
      <c r="N10" s="253" t="s">
        <v>1671</v>
      </c>
      <c r="P10" s="144" t="str">
        <f t="shared" si="3"/>
        <v>321</v>
      </c>
      <c r="Q10" s="144" t="str">
        <f t="shared" si="4"/>
        <v>32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>
        <v>51</v>
      </c>
      <c r="B11" s="149" t="str">
        <f t="shared" si="1"/>
        <v>Pomoći EU</v>
      </c>
      <c r="C11" s="154">
        <v>3237</v>
      </c>
      <c r="D11" s="149" t="str">
        <f t="shared" si="0"/>
        <v>Intelektualne i osobne usluge</v>
      </c>
      <c r="E11" s="201" t="s">
        <v>1269</v>
      </c>
      <c r="F11" s="149" t="str">
        <f t="shared" si="2"/>
        <v>ERASMUS+ SPECHALE  SPEcialisti za kulturnu baštinu i atraktivno životno okruženje</v>
      </c>
      <c r="G11" s="198">
        <v>55095</v>
      </c>
      <c r="H11" s="198">
        <v>16245</v>
      </c>
      <c r="I11" s="198"/>
      <c r="J11" s="226"/>
      <c r="K11" s="225"/>
      <c r="L11" s="225"/>
      <c r="M11" s="226" t="s">
        <v>1677</v>
      </c>
      <c r="N11" s="226"/>
      <c r="P11" s="144" t="str">
        <f t="shared" si="3"/>
        <v>323</v>
      </c>
      <c r="Q11" s="144" t="str">
        <f t="shared" si="4"/>
        <v>32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>
        <v>51</v>
      </c>
      <c r="B12" s="149" t="str">
        <f t="shared" si="1"/>
        <v>Pomoći EU</v>
      </c>
      <c r="C12" s="154">
        <v>3241</v>
      </c>
      <c r="D12" s="149" t="str">
        <f t="shared" si="0"/>
        <v>Naknade troškova osobama izvan radnog odnosa</v>
      </c>
      <c r="E12" s="201" t="s">
        <v>1269</v>
      </c>
      <c r="F12" s="149" t="str">
        <f t="shared" si="2"/>
        <v>ERASMUS+ SPECHALE  SPEcialisti za kulturnu baštinu i atraktivno životno okruženje</v>
      </c>
      <c r="G12" s="198"/>
      <c r="H12" s="198">
        <v>22883</v>
      </c>
      <c r="I12" s="198"/>
      <c r="J12" s="226"/>
      <c r="K12" s="225"/>
      <c r="L12" s="225"/>
      <c r="M12" s="226" t="s">
        <v>1677</v>
      </c>
      <c r="N12" s="226"/>
      <c r="P12" s="144" t="str">
        <f t="shared" si="3"/>
        <v>324</v>
      </c>
      <c r="Q12" s="144" t="str">
        <f t="shared" si="4"/>
        <v>32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 ht="326.25">
      <c r="A13" s="154">
        <v>51</v>
      </c>
      <c r="B13" s="149" t="str">
        <f t="shared" si="1"/>
        <v>Pomoći EU</v>
      </c>
      <c r="C13" s="154">
        <v>3111</v>
      </c>
      <c r="D13" s="149" t="str">
        <f t="shared" si="0"/>
        <v>Plaće za redovan rad</v>
      </c>
      <c r="E13" s="201" t="s">
        <v>914</v>
      </c>
      <c r="F13" s="149" t="str">
        <f t="shared" si="2"/>
        <v>NOVI PODPROJEKT</v>
      </c>
      <c r="G13" s="198">
        <v>307966</v>
      </c>
      <c r="H13" s="198">
        <v>159491</v>
      </c>
      <c r="I13" s="198"/>
      <c r="J13" s="254" t="s">
        <v>1672</v>
      </c>
      <c r="K13" s="225">
        <v>43466</v>
      </c>
      <c r="L13" s="225">
        <v>44377</v>
      </c>
      <c r="M13" s="226" t="s">
        <v>1673</v>
      </c>
      <c r="N13" s="255" t="s">
        <v>1674</v>
      </c>
      <c r="P13" s="144" t="str">
        <f t="shared" si="3"/>
        <v>311</v>
      </c>
      <c r="Q13" s="144" t="str">
        <f t="shared" si="4"/>
        <v>31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>
        <v>51</v>
      </c>
      <c r="B14" s="149" t="str">
        <f t="shared" si="1"/>
        <v>Pomoći EU</v>
      </c>
      <c r="C14" s="154">
        <v>3132</v>
      </c>
      <c r="D14" s="149" t="str">
        <f t="shared" si="0"/>
        <v>Doprinosi za obvezno zdravstveno osiguranje</v>
      </c>
      <c r="E14" s="201" t="s">
        <v>914</v>
      </c>
      <c r="F14" s="149" t="str">
        <f t="shared" si="2"/>
        <v>NOVI PODPROJEKT</v>
      </c>
      <c r="G14" s="198">
        <v>50816</v>
      </c>
      <c r="H14" s="198">
        <v>26316</v>
      </c>
      <c r="I14" s="198"/>
      <c r="J14" s="226"/>
      <c r="K14" s="225">
        <v>43466</v>
      </c>
      <c r="L14" s="225">
        <v>44377</v>
      </c>
      <c r="M14" s="226" t="s">
        <v>1673</v>
      </c>
      <c r="N14" s="226"/>
      <c r="P14" s="144" t="str">
        <f t="shared" si="3"/>
        <v>313</v>
      </c>
      <c r="Q14" s="144" t="str">
        <f t="shared" si="4"/>
        <v>31</v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>
        <v>51</v>
      </c>
      <c r="B15" s="149" t="str">
        <f t="shared" si="1"/>
        <v>Pomoći EU</v>
      </c>
      <c r="C15" s="154">
        <v>3211</v>
      </c>
      <c r="D15" s="149" t="str">
        <f t="shared" si="0"/>
        <v>Službena putovanja</v>
      </c>
      <c r="E15" s="201" t="s">
        <v>914</v>
      </c>
      <c r="F15" s="149" t="str">
        <f t="shared" si="2"/>
        <v>NOVI PODPROJEKT</v>
      </c>
      <c r="G15" s="198">
        <v>18870</v>
      </c>
      <c r="H15" s="198">
        <v>16354</v>
      </c>
      <c r="I15" s="198"/>
      <c r="J15" s="226"/>
      <c r="K15" s="225">
        <v>43466</v>
      </c>
      <c r="L15" s="225">
        <v>44377</v>
      </c>
      <c r="M15" s="226" t="s">
        <v>1673</v>
      </c>
      <c r="N15" s="226"/>
      <c r="P15" s="144" t="str">
        <f t="shared" si="3"/>
        <v>321</v>
      </c>
      <c r="Q15" s="144" t="str">
        <f t="shared" si="4"/>
        <v>32</v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>
        <v>51</v>
      </c>
      <c r="B16" s="149" t="str">
        <f t="shared" si="1"/>
        <v>Pomoći EU</v>
      </c>
      <c r="C16" s="154">
        <v>3212</v>
      </c>
      <c r="D16" s="149" t="str">
        <f t="shared" si="0"/>
        <v>Naknade za prijevoz, za rad na terenu i odvojeni život</v>
      </c>
      <c r="E16" s="201" t="s">
        <v>914</v>
      </c>
      <c r="F16" s="149" t="str">
        <f t="shared" si="2"/>
        <v>NOVI PODPROJEKT</v>
      </c>
      <c r="G16" s="198">
        <v>3480</v>
      </c>
      <c r="H16" s="198">
        <v>1740</v>
      </c>
      <c r="I16" s="198"/>
      <c r="J16" s="226"/>
      <c r="K16" s="225">
        <v>43466</v>
      </c>
      <c r="L16" s="225">
        <v>44377</v>
      </c>
      <c r="M16" s="226" t="s">
        <v>1673</v>
      </c>
      <c r="N16" s="226"/>
      <c r="P16" s="144" t="str">
        <f t="shared" si="3"/>
        <v>321</v>
      </c>
      <c r="Q16" s="144" t="str">
        <f t="shared" si="4"/>
        <v>32</v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>
        <v>51</v>
      </c>
      <c r="B17" s="149" t="str">
        <f t="shared" si="1"/>
        <v>Pomoći EU</v>
      </c>
      <c r="C17" s="154">
        <v>3237</v>
      </c>
      <c r="D17" s="149" t="str">
        <f t="shared" si="0"/>
        <v>Intelektualne i osobne usluge</v>
      </c>
      <c r="E17" s="201" t="s">
        <v>914</v>
      </c>
      <c r="F17" s="149" t="str">
        <f t="shared" si="2"/>
        <v>NOVI PODPROJEKT</v>
      </c>
      <c r="G17" s="198">
        <v>31450</v>
      </c>
      <c r="H17" s="198"/>
      <c r="I17" s="198"/>
      <c r="J17" s="226"/>
      <c r="K17" s="225">
        <v>43466</v>
      </c>
      <c r="L17" s="225">
        <v>44377</v>
      </c>
      <c r="M17" s="226" t="s">
        <v>1673</v>
      </c>
      <c r="N17" s="226"/>
      <c r="P17" s="144" t="str">
        <f t="shared" si="3"/>
        <v>323</v>
      </c>
      <c r="Q17" s="144" t="str">
        <f t="shared" si="4"/>
        <v>32</v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>
        <v>51</v>
      </c>
      <c r="B18" s="149" t="str">
        <f t="shared" si="1"/>
        <v>Pomoći EU</v>
      </c>
      <c r="C18" s="154">
        <v>3239</v>
      </c>
      <c r="D18" s="149" t="str">
        <f t="shared" si="0"/>
        <v>Ostale usluge</v>
      </c>
      <c r="E18" s="201" t="s">
        <v>914</v>
      </c>
      <c r="F18" s="149" t="str">
        <f t="shared" si="2"/>
        <v>NOVI PODPROJEKT</v>
      </c>
      <c r="G18" s="198">
        <v>50337</v>
      </c>
      <c r="H18" s="198">
        <v>26131</v>
      </c>
      <c r="I18" s="198"/>
      <c r="J18" s="226"/>
      <c r="K18" s="225">
        <v>43466</v>
      </c>
      <c r="L18" s="225">
        <v>44377</v>
      </c>
      <c r="M18" s="226" t="s">
        <v>1673</v>
      </c>
      <c r="N18" s="226"/>
      <c r="P18" s="144" t="str">
        <f t="shared" si="3"/>
        <v>323</v>
      </c>
      <c r="Q18" s="144" t="str">
        <f t="shared" si="4"/>
        <v>32</v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 ht="409.5">
      <c r="A19" s="154">
        <v>51</v>
      </c>
      <c r="B19" s="149" t="str">
        <f t="shared" si="1"/>
        <v>Pomoći EU</v>
      </c>
      <c r="C19" s="154">
        <v>3111</v>
      </c>
      <c r="D19" s="149" t="str">
        <f t="shared" si="0"/>
        <v>Plaće za redovan rad</v>
      </c>
      <c r="E19" s="201" t="s">
        <v>914</v>
      </c>
      <c r="F19" s="149" t="str">
        <f t="shared" si="2"/>
        <v>NOVI PODPROJEKT</v>
      </c>
      <c r="G19" s="198">
        <v>195125</v>
      </c>
      <c r="H19" s="198">
        <v>192940</v>
      </c>
      <c r="I19" s="198"/>
      <c r="J19" s="254" t="s">
        <v>1675</v>
      </c>
      <c r="K19" s="225">
        <v>43466</v>
      </c>
      <c r="L19" s="225">
        <v>44408</v>
      </c>
      <c r="M19" s="226" t="s">
        <v>1673</v>
      </c>
      <c r="N19" s="256" t="s">
        <v>1676</v>
      </c>
      <c r="P19" s="144" t="str">
        <f t="shared" si="3"/>
        <v>311</v>
      </c>
      <c r="Q19" s="144" t="str">
        <f t="shared" si="4"/>
        <v>31</v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>
        <v>51</v>
      </c>
      <c r="B20" s="149" t="str">
        <f t="shared" si="1"/>
        <v>Pomoći EU</v>
      </c>
      <c r="C20" s="154">
        <v>3132</v>
      </c>
      <c r="D20" s="149" t="str">
        <f t="shared" si="0"/>
        <v>Doprinosi za obvezno zdravstveno osiguranje</v>
      </c>
      <c r="E20" s="201" t="s">
        <v>914</v>
      </c>
      <c r="F20" s="149" t="str">
        <f t="shared" si="2"/>
        <v>NOVI PODPROJEKT</v>
      </c>
      <c r="G20" s="198">
        <v>32195</v>
      </c>
      <c r="H20" s="198">
        <v>31835</v>
      </c>
      <c r="I20" s="198"/>
      <c r="J20" s="226"/>
      <c r="K20" s="225">
        <v>43466</v>
      </c>
      <c r="L20" s="225">
        <v>44408</v>
      </c>
      <c r="M20" s="226" t="s">
        <v>1673</v>
      </c>
      <c r="N20" s="226"/>
      <c r="P20" s="144" t="str">
        <f t="shared" si="3"/>
        <v>313</v>
      </c>
      <c r="Q20" s="144" t="str">
        <f t="shared" si="4"/>
        <v>31</v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>
        <v>51</v>
      </c>
      <c r="B21" s="149" t="str">
        <f t="shared" si="1"/>
        <v>Pomoći EU</v>
      </c>
      <c r="C21" s="154">
        <v>3211</v>
      </c>
      <c r="D21" s="149" t="str">
        <f t="shared" si="0"/>
        <v>Službena putovanja</v>
      </c>
      <c r="E21" s="201" t="s">
        <v>914</v>
      </c>
      <c r="F21" s="149" t="str">
        <f t="shared" si="2"/>
        <v>NOVI PODPROJEKT</v>
      </c>
      <c r="G21" s="198">
        <v>15439</v>
      </c>
      <c r="H21" s="198">
        <v>21640</v>
      </c>
      <c r="I21" s="198"/>
      <c r="J21" s="226"/>
      <c r="K21" s="225">
        <v>43466</v>
      </c>
      <c r="L21" s="225">
        <v>44408</v>
      </c>
      <c r="M21" s="226" t="s">
        <v>1673</v>
      </c>
      <c r="N21" s="226"/>
      <c r="P21" s="144" t="str">
        <f t="shared" si="3"/>
        <v>321</v>
      </c>
      <c r="Q21" s="144" t="str">
        <f t="shared" si="4"/>
        <v>32</v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>
        <v>51</v>
      </c>
      <c r="B22" s="149" t="str">
        <f t="shared" si="1"/>
        <v>Pomoći EU</v>
      </c>
      <c r="C22" s="154">
        <v>3212</v>
      </c>
      <c r="D22" s="149" t="str">
        <f t="shared" si="0"/>
        <v>Naknade za prijevoz, za rad na terenu i odvojeni život</v>
      </c>
      <c r="E22" s="201" t="s">
        <v>914</v>
      </c>
      <c r="F22" s="149" t="str">
        <f t="shared" si="2"/>
        <v>NOVI PODPROJEKT</v>
      </c>
      <c r="G22" s="198">
        <v>3480</v>
      </c>
      <c r="H22" s="198">
        <v>3480</v>
      </c>
      <c r="I22" s="198"/>
      <c r="J22" s="226"/>
      <c r="K22" s="225">
        <v>43466</v>
      </c>
      <c r="L22" s="225">
        <v>44408</v>
      </c>
      <c r="M22" s="226" t="s">
        <v>1673</v>
      </c>
      <c r="N22" s="226"/>
      <c r="P22" s="144" t="str">
        <f t="shared" si="3"/>
        <v>321</v>
      </c>
      <c r="Q22" s="144" t="str">
        <f t="shared" si="4"/>
        <v>32</v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>
        <v>51</v>
      </c>
      <c r="B23" s="149" t="str">
        <f t="shared" si="1"/>
        <v>Pomoći EU</v>
      </c>
      <c r="C23" s="154">
        <v>3237</v>
      </c>
      <c r="D23" s="149" t="str">
        <f t="shared" si="0"/>
        <v>Intelektualne i osobne usluge</v>
      </c>
      <c r="E23" s="201" t="s">
        <v>914</v>
      </c>
      <c r="F23" s="149" t="str">
        <f t="shared" si="2"/>
        <v>NOVI PODPROJEKT</v>
      </c>
      <c r="G23" s="198">
        <v>54440</v>
      </c>
      <c r="H23" s="198">
        <v>88494</v>
      </c>
      <c r="I23" s="198"/>
      <c r="J23" s="226"/>
      <c r="K23" s="225">
        <v>43466</v>
      </c>
      <c r="L23" s="225">
        <v>44408</v>
      </c>
      <c r="M23" s="226" t="s">
        <v>1673</v>
      </c>
      <c r="N23" s="226"/>
      <c r="P23" s="144" t="str">
        <f t="shared" si="3"/>
        <v>323</v>
      </c>
      <c r="Q23" s="144" t="str">
        <f t="shared" si="4"/>
        <v>32</v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>
        <v>51</v>
      </c>
      <c r="B24" s="149" t="str">
        <f t="shared" si="1"/>
        <v>Pomoći EU</v>
      </c>
      <c r="C24" s="154">
        <v>3239</v>
      </c>
      <c r="D24" s="149" t="str">
        <f t="shared" si="0"/>
        <v>Ostale usluge</v>
      </c>
      <c r="E24" s="201" t="s">
        <v>914</v>
      </c>
      <c r="F24" s="149" t="str">
        <f t="shared" si="2"/>
        <v>NOVI PODPROJEKT</v>
      </c>
      <c r="G24" s="198">
        <v>30617</v>
      </c>
      <c r="H24" s="198">
        <v>30235</v>
      </c>
      <c r="I24" s="198"/>
      <c r="J24" s="226"/>
      <c r="K24" s="225">
        <v>43466</v>
      </c>
      <c r="L24" s="225">
        <v>44408</v>
      </c>
      <c r="M24" s="226" t="s">
        <v>1673</v>
      </c>
      <c r="N24" s="226"/>
      <c r="P24" s="144" t="str">
        <f t="shared" si="3"/>
        <v>323</v>
      </c>
      <c r="Q24" s="144" t="str">
        <f t="shared" si="4"/>
        <v>32</v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6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6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600-000002000000}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600-000003000000}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98"/>
  <sheetViews>
    <sheetView topLeftCell="A55" workbookViewId="0">
      <selection activeCell="B49" sqref="B49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267"/>
  <sheetViews>
    <sheetView tabSelected="1"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Damir Kresic</cp:lastModifiedBy>
  <cp:lastPrinted>2019-09-20T09:42:45Z</cp:lastPrinted>
  <dcterms:created xsi:type="dcterms:W3CDTF">2018-09-10T07:36:17Z</dcterms:created>
  <dcterms:modified xsi:type="dcterms:W3CDTF">2019-12-17T13:42:27Z</dcterms:modified>
</cp:coreProperties>
</file>